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queryTables/queryTable8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charts/colors1.xml" ContentType="application/vnd.ms-office.chartcolorstyle+xml"/>
  <Override PartName="/xl/activeX/activeX15.bin" ContentType="application/vnd.ms-office.activeX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62.bin" ContentType="application/vnd.ms-office.activeX"/>
  <Override PartName="/xl/activeX/activeX7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activeX/activeX9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queryTables/queryTable45.xml" ContentType="application/vnd.openxmlformats-officedocument.spreadsheetml.queryTable+xml"/>
  <Override PartName="/xl/activeX/activeX74.xml" ContentType="application/vnd.ms-office.activeX+xml"/>
  <Override PartName="/xl/activeX/activeX100.bin" ContentType="application/vnd.ms-office.activeX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queryTables/queryTable34.xml" ContentType="application/vnd.openxmlformats-officedocument.spreadsheetml.queryTable+xml"/>
  <Override PartName="/xl/activeX/activeX63.xml" ContentType="application/vnd.ms-office.activeX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70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queryTables/queryTable31.xml" ContentType="application/vnd.openxmlformats-officedocument.spreadsheetml.queryTable+xml"/>
  <Override PartName="/xl/activeX/activeX60.xml" ContentType="application/vnd.ms-office.activeX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charts/chart7.xml" ContentType="application/vnd.openxmlformats-officedocument.drawingml.chart+xml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activeX/activeX69.xml" ContentType="application/vnd.ms-office.activeX+xml"/>
  <Override PartName="/xl/charts/chart10.xml" ContentType="application/vnd.openxmlformats-officedocument.drawingml.chart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activeX/activeX36.xml" ContentType="application/vnd.ms-office.activeX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activeX/activeX72.xml" ContentType="application/vnd.ms-office.activeX+xml"/>
  <Override PartName="/xl/activeX/activeX90.xml" ContentType="application/vnd.ms-office.activeX+xml"/>
  <Override PartName="/xl/charts/style1.xml" ContentType="application/vnd.ms-office.chartsty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activeX/activeX61.xml" ContentType="application/vnd.ms-office.activeX+xml"/>
  <Override PartName="/xl/activeX/activeX103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61.bin" ContentType="application/vnd.ms-office.activeX"/>
  <Override PartName="/xl/activeX/activeX95.xml" ContentType="application/vnd.ms-office.activeX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activeX/activeX8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queryTables/queryTable33.xml" ContentType="application/vnd.openxmlformats-officedocument.spreadsheetml.queryTable+xml"/>
  <Override PartName="/xl/activeX/activeX62.xml" ContentType="application/vnd.ms-office.activeX+xml"/>
  <Override PartName="/xl/activeX/activeX73.xml" ContentType="application/vnd.ms-office.activeX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activeX/activeX81.xml" ContentType="application/vnd.ms-office.activeX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activeX/activeX63.bin" ContentType="application/vnd.ms-office.activeX"/>
  <Override PartName="/xl/activeX/activeX97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activeX/activeX10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activeX/activeX9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1540" yWindow="0" windowWidth="23370" windowHeight="14280" tabRatio="853" activeTab="5"/>
  </bookViews>
  <sheets>
    <sheet name="基本設定" sheetId="4" r:id="rId1"/>
    <sheet name="收盤價" sheetId="15" r:id="rId2"/>
    <sheet name="紅綠燈" sheetId="1" r:id="rId3"/>
    <sheet name="公司債" sheetId="24" r:id="rId4"/>
    <sheet name="買進檢查表" sheetId="23" r:id="rId5"/>
    <sheet name="評比系統" sheetId="2" r:id="rId6"/>
    <sheet name="篩股系統" sheetId="5" r:id="rId7"/>
    <sheet name="財報PK" sheetId="7" r:id="rId8"/>
    <sheet name="營收搶先報" sheetId="13" r:id="rId9"/>
    <sheet name="PSR" sheetId="3" r:id="rId10"/>
    <sheet name="RPS" sheetId="17" r:id="rId11"/>
    <sheet name="葛林公式" sheetId="19" r:id="rId12"/>
    <sheet name="重訊追蹤" sheetId="1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9" hidden="1">PSR!$A$1:$J$1481</definedName>
    <definedName name="_xlnm._FilterDatabase" localSheetId="13" hidden="1">季財報!$A$1:$H$1514</definedName>
    <definedName name="_xlnm._FilterDatabase" localSheetId="11" hidden="1">葛林公式!$A$1:$M$1519</definedName>
    <definedName name="_xlnm._FilterDatabase" localSheetId="8" hidden="1">營收搶先報!$A$1:$K$6448</definedName>
    <definedName name="EE" localSheetId="2">紅綠燈!#REF!</definedName>
    <definedName name="_xlnm.Print_Area" localSheetId="4">買進檢查表!$A$1:$D$29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9">PSR!#REF!</definedName>
    <definedName name="外部資料_1" localSheetId="3">公司債!#REF!</definedName>
    <definedName name="外部資料_1" localSheetId="2">紅綠燈!#REF!</definedName>
    <definedName name="外部資料_1" localSheetId="5">評比系統!#REF!</definedName>
    <definedName name="外部資料_1" localSheetId="18">福邦!#REF!</definedName>
    <definedName name="外部資料_1" localSheetId="6">篩股系統!#REF!</definedName>
    <definedName name="外部資料_1" localSheetId="8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9">PSR!#REF!</definedName>
    <definedName name="外部資料_10" localSheetId="3">公司債!#REF!</definedName>
    <definedName name="外部資料_10" localSheetId="2">紅綠燈!#REF!</definedName>
    <definedName name="外部資料_10" localSheetId="5">評比系統!#REF!</definedName>
    <definedName name="外部資料_10" localSheetId="18">福邦!#REF!</definedName>
    <definedName name="外部資料_10" localSheetId="6">篩股系統!#REF!</definedName>
    <definedName name="外部資料_10" localSheetId="8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9">PSR!#REF!</definedName>
    <definedName name="外部資料_100" localSheetId="3">公司債!#REF!</definedName>
    <definedName name="外部資料_100" localSheetId="2">紅綠燈!#REF!</definedName>
    <definedName name="外部資料_100" localSheetId="5">評比系統!#REF!</definedName>
    <definedName name="外部資料_100" localSheetId="18">福邦!#REF!</definedName>
    <definedName name="外部資料_100" localSheetId="8">營收搶先報!#REF!</definedName>
    <definedName name="外部資料_1000" localSheetId="2">紅綠燈!#REF!</definedName>
    <definedName name="外部資料_1000" localSheetId="5">評比系統!$T$1:$AF$33</definedName>
    <definedName name="外部資料_1001" localSheetId="2">紅綠燈!#REF!</definedName>
    <definedName name="外部資料_1001" localSheetId="5">評比系統!$T$1:$AF$33</definedName>
    <definedName name="外部資料_1002" localSheetId="5">評比系統!$T$1:$AF$33</definedName>
    <definedName name="外部資料_1003" localSheetId="2">紅綠燈!#REF!</definedName>
    <definedName name="外部資料_1003" localSheetId="5">評比系統!$T$1:$AF$33</definedName>
    <definedName name="外部資料_1004" localSheetId="2">紅綠燈!#REF!</definedName>
    <definedName name="外部資料_1004" localSheetId="5">評比系統!$T$1:$AF$33</definedName>
    <definedName name="外部資料_1005" localSheetId="2">紅綠燈!#REF!</definedName>
    <definedName name="外部資料_1005" localSheetId="5">評比系統!$T$1:$AF$33</definedName>
    <definedName name="外部資料_1006" localSheetId="5">評比系統!$T$1:$AF$33</definedName>
    <definedName name="外部資料_1007" localSheetId="2">紅綠燈!#REF!</definedName>
    <definedName name="外部資料_1007" localSheetId="5">評比系統!$T$1:$AF$33</definedName>
    <definedName name="外部資料_1008" localSheetId="2">紅綠燈!#REF!</definedName>
    <definedName name="外部資料_1008" localSheetId="5">評比系統!$T$1:$AF$33</definedName>
    <definedName name="外部資料_1009" localSheetId="2">紅綠燈!#REF!</definedName>
    <definedName name="外部資料_1009" localSheetId="5">評比系統!$T$1:$AF$33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9">PSR!#REF!</definedName>
    <definedName name="外部資料_101" localSheetId="3">公司債!#REF!</definedName>
    <definedName name="外部資料_101" localSheetId="5">評比系統!$T$1:$T$3</definedName>
    <definedName name="外部資料_101" localSheetId="18">福邦!#REF!</definedName>
    <definedName name="外部資料_101" localSheetId="8">營收搶先報!#REF!</definedName>
    <definedName name="外部資料_1010" localSheetId="5">評比系統!$T$1:$AF$33</definedName>
    <definedName name="外部資料_1011" localSheetId="2">紅綠燈!#REF!</definedName>
    <definedName name="外部資料_1011" localSheetId="5">評比系統!$T$1:$AF$33</definedName>
    <definedName name="外部資料_1012" localSheetId="2">紅綠燈!#REF!</definedName>
    <definedName name="外部資料_1012" localSheetId="5">評比系統!$T$1:$AF$33</definedName>
    <definedName name="外部資料_1013" localSheetId="2">紅綠燈!#REF!</definedName>
    <definedName name="外部資料_1013" localSheetId="5">評比系統!$T$1:$AF$33</definedName>
    <definedName name="外部資料_1014" localSheetId="5">評比系統!$T$1:$AF$33</definedName>
    <definedName name="外部資料_1015" localSheetId="2">紅綠燈!#REF!</definedName>
    <definedName name="外部資料_1015" localSheetId="5">評比系統!$T$1:$AF$33</definedName>
    <definedName name="外部資料_1016" localSheetId="2">紅綠燈!#REF!</definedName>
    <definedName name="外部資料_1016" localSheetId="5">評比系統!$T$1:$AF$33</definedName>
    <definedName name="外部資料_1017" localSheetId="2">紅綠燈!#REF!</definedName>
    <definedName name="外部資料_1017" localSheetId="5">評比系統!$T$1:$AF$33</definedName>
    <definedName name="外部資料_1018" localSheetId="5">評比系統!$T$1:$AF$33</definedName>
    <definedName name="外部資料_1019" localSheetId="2">紅綠燈!#REF!</definedName>
    <definedName name="外部資料_1019" localSheetId="5">評比系統!$T$1:$AF$33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9">PSR!#REF!</definedName>
    <definedName name="外部資料_102" localSheetId="3">公司債!#REF!</definedName>
    <definedName name="外部資料_102" localSheetId="5">評比系統!$T$1:$T$3</definedName>
    <definedName name="外部資料_102" localSheetId="18">福邦!#REF!</definedName>
    <definedName name="外部資料_102" localSheetId="8">營收搶先報!#REF!</definedName>
    <definedName name="外部資料_1020" localSheetId="2">紅綠燈!#REF!</definedName>
    <definedName name="外部資料_1020" localSheetId="5">評比系統!$T$1:$AF$33</definedName>
    <definedName name="外部資料_1021" localSheetId="2">紅綠燈!#REF!</definedName>
    <definedName name="外部資料_1021" localSheetId="5">評比系統!$T$1:$AF$33</definedName>
    <definedName name="外部資料_1022" localSheetId="5">評比系統!$T$1:$AF$33</definedName>
    <definedName name="外部資料_1023" localSheetId="2">紅綠燈!#REF!</definedName>
    <definedName name="外部資料_1023" localSheetId="5">評比系統!$T$1:$AF$33</definedName>
    <definedName name="外部資料_1024" localSheetId="2">紅綠燈!#REF!</definedName>
    <definedName name="外部資料_1024" localSheetId="5">評比系統!$T$1:$AF$33</definedName>
    <definedName name="外部資料_1025" localSheetId="2">紅綠燈!#REF!</definedName>
    <definedName name="外部資料_1025" localSheetId="5">評比系統!$T$1:$AF$33</definedName>
    <definedName name="外部資料_1026" localSheetId="5">評比系統!$T$1:$AF$33</definedName>
    <definedName name="外部資料_1027" localSheetId="2">紅綠燈!#REF!</definedName>
    <definedName name="外部資料_1027" localSheetId="5">評比系統!$T$1:$AF$33</definedName>
    <definedName name="外部資料_1028" localSheetId="2">紅綠燈!#REF!</definedName>
    <definedName name="外部資料_1028" localSheetId="5">評比系統!$T$1:$AF$33</definedName>
    <definedName name="外部資料_1029" localSheetId="2">紅綠燈!#REF!</definedName>
    <definedName name="外部資料_1029" localSheetId="5">評比系統!$T$1:$AF$33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9">PSR!#REF!</definedName>
    <definedName name="外部資料_103" localSheetId="3">公司債!#REF!</definedName>
    <definedName name="外部資料_103" localSheetId="5">評比系統!$T$1:$T$3</definedName>
    <definedName name="外部資料_103" localSheetId="18">福邦!#REF!</definedName>
    <definedName name="外部資料_103" localSheetId="8">營收搶先報!#REF!</definedName>
    <definedName name="外部資料_1030" localSheetId="5">評比系統!$T$1:$AF$33</definedName>
    <definedName name="外部資料_1031" localSheetId="2">紅綠燈!#REF!</definedName>
    <definedName name="外部資料_1031" localSheetId="5">評比系統!$T$1:$AF$33</definedName>
    <definedName name="外部資料_1032" localSheetId="2">紅綠燈!#REF!</definedName>
    <definedName name="外部資料_1032" localSheetId="5">評比系統!$T$1:$AF$33</definedName>
    <definedName name="外部資料_1033" localSheetId="2">紅綠燈!#REF!</definedName>
    <definedName name="外部資料_1033" localSheetId="5">評比系統!$T$1:$AF$33</definedName>
    <definedName name="外部資料_1034" localSheetId="5">評比系統!$T$1:$AF$33</definedName>
    <definedName name="外部資料_1035" localSheetId="2">紅綠燈!#REF!</definedName>
    <definedName name="外部資料_1035" localSheetId="5">評比系統!$T$1:$AF$33</definedName>
    <definedName name="外部資料_1036" localSheetId="2">紅綠燈!#REF!</definedName>
    <definedName name="外部資料_1036" localSheetId="5">評比系統!$T$1:$AF$33</definedName>
    <definedName name="外部資料_1037" localSheetId="2">紅綠燈!#REF!</definedName>
    <definedName name="外部資料_1037" localSheetId="5">評比系統!$T$1:$AF$33</definedName>
    <definedName name="外部資料_1038" localSheetId="5">評比系統!$T$1:$AF$33</definedName>
    <definedName name="外部資料_1039" localSheetId="2">紅綠燈!#REF!</definedName>
    <definedName name="外部資料_1039" localSheetId="5">評比系統!$T$1:$AF$33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9">PSR!#REF!</definedName>
    <definedName name="外部資料_104" localSheetId="3">公司債!#REF!</definedName>
    <definedName name="外部資料_104" localSheetId="5">評比系統!$T$1:$T$3</definedName>
    <definedName name="外部資料_104" localSheetId="18">福邦!#REF!</definedName>
    <definedName name="外部資料_104" localSheetId="8">營收搶先報!#REF!</definedName>
    <definedName name="外部資料_1040" localSheetId="2">紅綠燈!#REF!</definedName>
    <definedName name="外部資料_1040" localSheetId="5">評比系統!$T$1:$AF$33</definedName>
    <definedName name="外部資料_1041" localSheetId="2">紅綠燈!#REF!</definedName>
    <definedName name="外部資料_1041" localSheetId="5">評比系統!$T$1:$AF$33</definedName>
    <definedName name="外部資料_1042" localSheetId="5">評比系統!$T$1:$AF$33</definedName>
    <definedName name="外部資料_1043" localSheetId="2">紅綠燈!#REF!</definedName>
    <definedName name="外部資料_1043" localSheetId="5">評比系統!$T$1:$AF$33</definedName>
    <definedName name="外部資料_1044" localSheetId="2">紅綠燈!#REF!</definedName>
    <definedName name="外部資料_1044" localSheetId="5">評比系統!$T$1:$AF$33</definedName>
    <definedName name="外部資料_1045" localSheetId="2">紅綠燈!#REF!</definedName>
    <definedName name="外部資料_1045" localSheetId="5">評比系統!$T$1:$AF$33</definedName>
    <definedName name="外部資料_1046" localSheetId="5">評比系統!$T$1:$AF$33</definedName>
    <definedName name="外部資料_1047" localSheetId="2">紅綠燈!#REF!</definedName>
    <definedName name="外部資料_1047" localSheetId="5">評比系統!$T$1:$AF$33</definedName>
    <definedName name="外部資料_1048" localSheetId="2">紅綠燈!#REF!</definedName>
    <definedName name="外部資料_1048" localSheetId="5">評比系統!$T$1:$AF$33</definedName>
    <definedName name="外部資料_1049" localSheetId="2">紅綠燈!#REF!</definedName>
    <definedName name="外部資料_1049" localSheetId="5">評比系統!$T$1:$AF$33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9">PSR!#REF!</definedName>
    <definedName name="外部資料_105" localSheetId="3">公司債!#REF!</definedName>
    <definedName name="外部資料_105" localSheetId="5">評比系統!$T$1:$T$3</definedName>
    <definedName name="外部資料_105" localSheetId="18">福邦!#REF!</definedName>
    <definedName name="外部資料_105" localSheetId="8">營收搶先報!#REF!</definedName>
    <definedName name="外部資料_1050" localSheetId="5">評比系統!$T$1:$AF$33</definedName>
    <definedName name="外部資料_1051" localSheetId="2">紅綠燈!#REF!</definedName>
    <definedName name="外部資料_1051" localSheetId="5">評比系統!$T$1:$AF$33</definedName>
    <definedName name="外部資料_1052" localSheetId="2">紅綠燈!#REF!</definedName>
    <definedName name="外部資料_1052" localSheetId="5">評比系統!$T$1:$AF$33</definedName>
    <definedName name="外部資料_1053" localSheetId="2">紅綠燈!#REF!</definedName>
    <definedName name="外部資料_1053" localSheetId="5">評比系統!$T$1:$AF$33</definedName>
    <definedName name="外部資料_1054" localSheetId="5">評比系統!$T$1:$AF$33</definedName>
    <definedName name="外部資料_1055" localSheetId="2">紅綠燈!#REF!</definedName>
    <definedName name="外部資料_1055" localSheetId="5">評比系統!$T$1:$AF$33</definedName>
    <definedName name="外部資料_1056" localSheetId="2">紅綠燈!#REF!</definedName>
    <definedName name="外部資料_1056" localSheetId="5">評比系統!$T$1:$AF$33</definedName>
    <definedName name="外部資料_1057" localSheetId="2">紅綠燈!#REF!</definedName>
    <definedName name="外部資料_1057" localSheetId="5">評比系統!$T$1:$AF$33</definedName>
    <definedName name="外部資料_1058" localSheetId="5">評比系統!$T$1:$AF$33</definedName>
    <definedName name="外部資料_1059" localSheetId="2">紅綠燈!#REF!</definedName>
    <definedName name="外部資料_1059" localSheetId="5">評比系統!$T$1:$AF$33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9">PSR!#REF!</definedName>
    <definedName name="外部資料_106" localSheetId="3">公司債!#REF!</definedName>
    <definedName name="外部資料_106" localSheetId="5">評比系統!$T$1:$T$3</definedName>
    <definedName name="外部資料_106" localSheetId="18">福邦!#REF!</definedName>
    <definedName name="外部資料_106" localSheetId="8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9">PSR!#REF!</definedName>
    <definedName name="外部資料_107" localSheetId="3">公司債!#REF!</definedName>
    <definedName name="外部資料_107" localSheetId="5">評比系統!$T$1:$T$3</definedName>
    <definedName name="外部資料_107" localSheetId="18">福邦!#REF!</definedName>
    <definedName name="外部資料_107" localSheetId="8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9">PSR!#REF!</definedName>
    <definedName name="外部資料_108" localSheetId="3">公司債!#REF!</definedName>
    <definedName name="外部資料_108" localSheetId="5">評比系統!$T$1:$T$3</definedName>
    <definedName name="外部資料_108" localSheetId="18">福邦!#REF!</definedName>
    <definedName name="外部資料_108" localSheetId="8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9">PSR!#REF!</definedName>
    <definedName name="外部資料_109" localSheetId="3">公司債!#REF!</definedName>
    <definedName name="外部資料_109" localSheetId="5">評比系統!$T$1:$T$3</definedName>
    <definedName name="外部資料_109" localSheetId="18">福邦!#REF!</definedName>
    <definedName name="外部資料_109" localSheetId="8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9">PSR!#REF!</definedName>
    <definedName name="外部資料_11" localSheetId="3">公司債!#REF!</definedName>
    <definedName name="外部資料_11" localSheetId="2">紅綠燈!#REF!</definedName>
    <definedName name="外部資料_11" localSheetId="5">評比系統!#REF!</definedName>
    <definedName name="外部資料_11" localSheetId="18">福邦!#REF!</definedName>
    <definedName name="外部資料_11" localSheetId="6">篩股系統!#REF!</definedName>
    <definedName name="外部資料_11" localSheetId="8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9">PSR!#REF!</definedName>
    <definedName name="外部資料_110" localSheetId="3">公司債!#REF!</definedName>
    <definedName name="外部資料_110" localSheetId="5">評比系統!$T$1:$T$3</definedName>
    <definedName name="外部資料_110" localSheetId="18">福邦!#REF!</definedName>
    <definedName name="外部資料_110" localSheetId="8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9">PSR!#REF!</definedName>
    <definedName name="外部資料_111" localSheetId="3">公司債!#REF!</definedName>
    <definedName name="外部資料_111" localSheetId="5">評比系統!$T$1:$T$3</definedName>
    <definedName name="外部資料_111" localSheetId="18">福邦!#REF!</definedName>
    <definedName name="外部資料_111" localSheetId="8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9">PSR!#REF!</definedName>
    <definedName name="外部資料_112" localSheetId="3">公司債!#REF!</definedName>
    <definedName name="外部資料_112" localSheetId="5">評比系統!$T$1:$T$3</definedName>
    <definedName name="外部資料_112" localSheetId="18">福邦!#REF!</definedName>
    <definedName name="外部資料_112" localSheetId="8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9">PSR!#REF!</definedName>
    <definedName name="外部資料_113" localSheetId="3">公司債!#REF!</definedName>
    <definedName name="外部資料_113" localSheetId="5">評比系統!$T$1:$T$3</definedName>
    <definedName name="外部資料_113" localSheetId="18">福邦!#REF!</definedName>
    <definedName name="外部資料_113" localSheetId="8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9">PSR!#REF!</definedName>
    <definedName name="外部資料_114" localSheetId="3">公司債!#REF!</definedName>
    <definedName name="外部資料_114" localSheetId="5">評比系統!$T$1:$T$3</definedName>
    <definedName name="外部資料_114" localSheetId="18">福邦!#REF!</definedName>
    <definedName name="外部資料_114" localSheetId="8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9">PSR!#REF!</definedName>
    <definedName name="外部資料_115" localSheetId="3">公司債!#REF!</definedName>
    <definedName name="外部資料_115" localSheetId="5">評比系統!$T$1:$T$3</definedName>
    <definedName name="外部資料_115" localSheetId="18">福邦!#REF!</definedName>
    <definedName name="外部資料_115" localSheetId="8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9">PSR!#REF!</definedName>
    <definedName name="外部資料_116" localSheetId="3">公司債!#REF!</definedName>
    <definedName name="外部資料_116" localSheetId="5">評比系統!$T$1:$T$3</definedName>
    <definedName name="外部資料_116" localSheetId="18">福邦!#REF!</definedName>
    <definedName name="外部資料_116" localSheetId="8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9">PSR!#REF!</definedName>
    <definedName name="外部資料_117" localSheetId="3">公司債!#REF!</definedName>
    <definedName name="外部資料_117" localSheetId="5">評比系統!$T$1:$T$3</definedName>
    <definedName name="外部資料_117" localSheetId="18">福邦!#REF!</definedName>
    <definedName name="外部資料_117" localSheetId="8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9">PSR!#REF!</definedName>
    <definedName name="外部資料_118" localSheetId="3">公司債!#REF!</definedName>
    <definedName name="外部資料_118" localSheetId="5">評比系統!$T$1:$T$3</definedName>
    <definedName name="外部資料_118" localSheetId="18">福邦!#REF!</definedName>
    <definedName name="外部資料_118" localSheetId="8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9">PSR!#REF!</definedName>
    <definedName name="外部資料_119" localSheetId="3">公司債!#REF!</definedName>
    <definedName name="外部資料_119" localSheetId="5">評比系統!$T$1:$T$3</definedName>
    <definedName name="外部資料_119" localSheetId="18">福邦!#REF!</definedName>
    <definedName name="外部資料_119" localSheetId="6">篩股系統!#REF!</definedName>
    <definedName name="外部資料_119" localSheetId="8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9">PSR!#REF!</definedName>
    <definedName name="外部資料_12" localSheetId="3">公司債!#REF!</definedName>
    <definedName name="外部資料_12" localSheetId="2">紅綠燈!#REF!</definedName>
    <definedName name="外部資料_12" localSheetId="5">評比系統!#REF!</definedName>
    <definedName name="外部資料_12" localSheetId="18">福邦!#REF!</definedName>
    <definedName name="外部資料_12" localSheetId="6">篩股系統!#REF!</definedName>
    <definedName name="外部資料_12" localSheetId="8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9">PSR!#REF!</definedName>
    <definedName name="外部資料_120" localSheetId="3">公司債!#REF!</definedName>
    <definedName name="外部資料_120" localSheetId="5">評比系統!$T$1:$T$3</definedName>
    <definedName name="外部資料_120" localSheetId="18">福邦!#REF!</definedName>
    <definedName name="外部資料_120" localSheetId="8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9">PSR!#REF!</definedName>
    <definedName name="外部資料_121" localSheetId="3">公司債!#REF!</definedName>
    <definedName name="外部資料_121" localSheetId="5">評比系統!$T$1:$T$3</definedName>
    <definedName name="外部資料_121" localSheetId="18">福邦!#REF!</definedName>
    <definedName name="外部資料_121" localSheetId="8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9">PSR!#REF!</definedName>
    <definedName name="外部資料_122" localSheetId="3">公司債!#REF!</definedName>
    <definedName name="外部資料_122" localSheetId="5">評比系統!$T$1:$T$3</definedName>
    <definedName name="外部資料_122" localSheetId="18">福邦!#REF!</definedName>
    <definedName name="外部資料_122" localSheetId="8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9">PSR!#REF!</definedName>
    <definedName name="外部資料_123" localSheetId="3">公司債!#REF!</definedName>
    <definedName name="外部資料_123" localSheetId="5">評比系統!$T$1:$T$3</definedName>
    <definedName name="外部資料_123" localSheetId="18">福邦!#REF!</definedName>
    <definedName name="外部資料_123" localSheetId="8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9">PSR!#REF!</definedName>
    <definedName name="外部資料_124" localSheetId="3">公司債!#REF!</definedName>
    <definedName name="外部資料_124" localSheetId="5">評比系統!$T$1:$T$3</definedName>
    <definedName name="外部資料_124" localSheetId="18">福邦!#REF!</definedName>
    <definedName name="外部資料_124" localSheetId="8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9">PSR!#REF!</definedName>
    <definedName name="外部資料_125" localSheetId="3">公司債!#REF!</definedName>
    <definedName name="外部資料_125" localSheetId="5">評比系統!$T$1:$T$3</definedName>
    <definedName name="外部資料_125" localSheetId="18">福邦!#REF!</definedName>
    <definedName name="外部資料_125" localSheetId="8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9">PSR!#REF!</definedName>
    <definedName name="外部資料_126" localSheetId="3">公司債!#REF!</definedName>
    <definedName name="外部資料_126" localSheetId="5">評比系統!$T$1:$T$3</definedName>
    <definedName name="外部資料_126" localSheetId="18">福邦!#REF!</definedName>
    <definedName name="外部資料_126" localSheetId="8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9">PSR!#REF!</definedName>
    <definedName name="外部資料_127" localSheetId="3">公司債!#REF!</definedName>
    <definedName name="外部資料_127" localSheetId="5">評比系統!$T$1:$T$3</definedName>
    <definedName name="外部資料_127" localSheetId="18">福邦!#REF!</definedName>
    <definedName name="外部資料_127" localSheetId="8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9">PSR!#REF!</definedName>
    <definedName name="外部資料_128" localSheetId="3">公司債!#REF!</definedName>
    <definedName name="外部資料_128" localSheetId="5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9">PSR!#REF!</definedName>
    <definedName name="外部資料_129" localSheetId="3">公司債!#REF!</definedName>
    <definedName name="外部資料_129" localSheetId="5">評比系統!$T$1:$T$3</definedName>
    <definedName name="外部資料_129" localSheetId="18">福邦!#REF!</definedName>
    <definedName name="外部資料_129" localSheetId="8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9">PSR!#REF!</definedName>
    <definedName name="外部資料_13" localSheetId="3">公司債!#REF!</definedName>
    <definedName name="外部資料_13" localSheetId="2">紅綠燈!#REF!</definedName>
    <definedName name="外部資料_13" localSheetId="5">評比系統!#REF!</definedName>
    <definedName name="外部資料_13" localSheetId="18">福邦!#REF!</definedName>
    <definedName name="外部資料_13" localSheetId="6">篩股系統!#REF!</definedName>
    <definedName name="外部資料_13" localSheetId="8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9">PSR!#REF!</definedName>
    <definedName name="外部資料_130" localSheetId="3">公司債!#REF!</definedName>
    <definedName name="外部資料_130" localSheetId="5">評比系統!$T$1:$T$3</definedName>
    <definedName name="外部資料_130" localSheetId="18">福邦!#REF!</definedName>
    <definedName name="外部資料_130" localSheetId="8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9">PSR!#REF!</definedName>
    <definedName name="外部資料_131" localSheetId="3">公司債!#REF!</definedName>
    <definedName name="外部資料_131" localSheetId="5">評比系統!$T$1:$T$3</definedName>
    <definedName name="外部資料_131" localSheetId="18">福邦!#REF!</definedName>
    <definedName name="外部資料_131" localSheetId="8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9">PSR!#REF!</definedName>
    <definedName name="外部資料_132" localSheetId="3">公司債!#REF!</definedName>
    <definedName name="外部資料_132" localSheetId="5">評比系統!$T$1:$T$3</definedName>
    <definedName name="外部資料_132" localSheetId="18">福邦!#REF!</definedName>
    <definedName name="外部資料_132" localSheetId="8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9">PSR!#REF!</definedName>
    <definedName name="外部資料_133" localSheetId="3">公司債!#REF!</definedName>
    <definedName name="外部資料_133" localSheetId="5">評比系統!$T$1:$T$3</definedName>
    <definedName name="外部資料_133" localSheetId="18">福邦!#REF!</definedName>
    <definedName name="外部資料_133" localSheetId="8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9">PSR!#REF!</definedName>
    <definedName name="外部資料_134" localSheetId="3">公司債!#REF!</definedName>
    <definedName name="外部資料_134" localSheetId="5">評比系統!$T$1:$T$3</definedName>
    <definedName name="外部資料_134" localSheetId="18">福邦!#REF!</definedName>
    <definedName name="外部資料_134" localSheetId="8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9">PSR!#REF!</definedName>
    <definedName name="外部資料_135" localSheetId="3">公司債!#REF!</definedName>
    <definedName name="外部資料_135" localSheetId="5">評比系統!$T$1:$T$3</definedName>
    <definedName name="外部資料_135" localSheetId="18">福邦!#REF!</definedName>
    <definedName name="外部資料_135" localSheetId="8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9">PSR!#REF!</definedName>
    <definedName name="外部資料_136" localSheetId="3">公司債!#REF!</definedName>
    <definedName name="外部資料_136" localSheetId="5">評比系統!$T$1:$T$3</definedName>
    <definedName name="外部資料_136" localSheetId="18">福邦!#REF!</definedName>
    <definedName name="外部資料_136" localSheetId="8">營收搶先報!#REF!</definedName>
    <definedName name="外部資料_1360" localSheetId="2">紅綠燈!#REF!</definedName>
    <definedName name="外部資料_1360" localSheetId="6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9">PSR!#REF!</definedName>
    <definedName name="外部資料_137" localSheetId="3">公司債!#REF!</definedName>
    <definedName name="外部資料_137" localSheetId="5">評比系統!$T$1:$T$3</definedName>
    <definedName name="外部資料_137" localSheetId="18">福邦!#REF!</definedName>
    <definedName name="外部資料_137" localSheetId="8">營收搶先報!#REF!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9">PSR!#REF!</definedName>
    <definedName name="外部資料_138" localSheetId="3">公司債!#REF!</definedName>
    <definedName name="外部資料_138" localSheetId="5">評比系統!$T$1:$T$3</definedName>
    <definedName name="外部資料_138" localSheetId="18">福邦!#REF!</definedName>
    <definedName name="外部資料_138" localSheetId="8">營收搶先報!#REF!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9">PSR!#REF!</definedName>
    <definedName name="外部資料_139" localSheetId="3">公司債!#REF!</definedName>
    <definedName name="外部資料_139" localSheetId="5">評比系統!$T$1:$T$3</definedName>
    <definedName name="外部資料_139" localSheetId="18">福邦!#REF!</definedName>
    <definedName name="外部資料_139" localSheetId="8">營收搶先報!#REF!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9">PSR!#REF!</definedName>
    <definedName name="外部資料_14" localSheetId="3">公司債!#REF!</definedName>
    <definedName name="外部資料_14" localSheetId="2">紅綠燈!#REF!</definedName>
    <definedName name="外部資料_14" localSheetId="5">評比系統!#REF!</definedName>
    <definedName name="外部資料_14" localSheetId="18">福邦!#REF!</definedName>
    <definedName name="外部資料_14" localSheetId="6">篩股系統!#REF!</definedName>
    <definedName name="外部資料_14" localSheetId="8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9">PSR!#REF!</definedName>
    <definedName name="外部資料_140" localSheetId="3">公司債!#REF!</definedName>
    <definedName name="外部資料_140" localSheetId="5">評比系統!$T$1:$T$3</definedName>
    <definedName name="外部資料_140" localSheetId="18">福邦!#REF!</definedName>
    <definedName name="外部資料_140" localSheetId="8">營收搶先報!#REF!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9">PSR!#REF!</definedName>
    <definedName name="外部資料_141" localSheetId="3">公司債!#REF!</definedName>
    <definedName name="外部資料_141" localSheetId="5">評比系統!$T$1:$T$3</definedName>
    <definedName name="外部資料_141" localSheetId="18">福邦!#REF!</definedName>
    <definedName name="外部資料_141" localSheetId="8">營收搶先報!#REF!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9">PSR!#REF!</definedName>
    <definedName name="外部資料_142" localSheetId="3">公司債!#REF!</definedName>
    <definedName name="外部資料_142" localSheetId="5">評比系統!$T$1:$T$3</definedName>
    <definedName name="外部資料_142" localSheetId="18">福邦!#REF!</definedName>
    <definedName name="外部資料_142" localSheetId="8">營收搶先報!#REF!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9">PSR!#REF!</definedName>
    <definedName name="外部資料_143" localSheetId="3">公司債!#REF!</definedName>
    <definedName name="外部資料_143" localSheetId="5">評比系統!$T$1:$T$3</definedName>
    <definedName name="外部資料_143" localSheetId="18">福邦!#REF!</definedName>
    <definedName name="外部資料_143" localSheetId="8">營收搶先報!#REF!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9">PSR!#REF!</definedName>
    <definedName name="外部資料_144" localSheetId="3">公司債!#REF!</definedName>
    <definedName name="外部資料_144" localSheetId="5">評比系統!$T$1:$T$3</definedName>
    <definedName name="外部資料_144" localSheetId="18">福邦!#REF!</definedName>
    <definedName name="外部資料_144" localSheetId="8">營收搶先報!#REF!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9">PSR!#REF!</definedName>
    <definedName name="外部資料_145" localSheetId="3">公司債!#REF!</definedName>
    <definedName name="外部資料_145" localSheetId="5">評比系統!$T$1:$T$3</definedName>
    <definedName name="外部資料_145" localSheetId="18">福邦!#REF!</definedName>
    <definedName name="外部資料_145" localSheetId="8">營收搶先報!#REF!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9">PSR!#REF!</definedName>
    <definedName name="外部資料_146" localSheetId="3">公司債!#REF!</definedName>
    <definedName name="外部資料_146" localSheetId="5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9">PSR!#REF!</definedName>
    <definedName name="外部資料_147" localSheetId="3">公司債!#REF!</definedName>
    <definedName name="外部資料_147" localSheetId="5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9">PSR!#REF!</definedName>
    <definedName name="外部資料_148" localSheetId="3">公司債!#REF!</definedName>
    <definedName name="外部資料_148" localSheetId="5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9">PSR!#REF!</definedName>
    <definedName name="外部資料_149" localSheetId="3">公司債!#REF!</definedName>
    <definedName name="外部資料_149" localSheetId="5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9">PSR!#REF!</definedName>
    <definedName name="外部資料_15" localSheetId="3">公司債!#REF!</definedName>
    <definedName name="外部資料_15" localSheetId="2">紅綠燈!$N$55:$AD$112</definedName>
    <definedName name="外部資料_15" localSheetId="5">評比系統!#REF!</definedName>
    <definedName name="外部資料_15" localSheetId="18">福邦!#REF!</definedName>
    <definedName name="外部資料_15" localSheetId="6">篩股系統!#REF!</definedName>
    <definedName name="外部資料_15" localSheetId="8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9">PSR!#REF!</definedName>
    <definedName name="外部資料_150" localSheetId="3">公司債!#REF!</definedName>
    <definedName name="外部資料_150" localSheetId="5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9">PSR!#REF!</definedName>
    <definedName name="外部資料_151" localSheetId="3">公司債!#REF!</definedName>
    <definedName name="外部資料_151" localSheetId="5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9">PSR!#REF!</definedName>
    <definedName name="外部資料_152" localSheetId="3">公司債!#REF!</definedName>
    <definedName name="外部資料_152" localSheetId="5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9">PSR!#REF!</definedName>
    <definedName name="外部資料_153" localSheetId="3">公司債!#REF!</definedName>
    <definedName name="外部資料_153" localSheetId="5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9">PSR!#REF!</definedName>
    <definedName name="外部資料_154" localSheetId="3">公司債!#REF!</definedName>
    <definedName name="外部資料_154" localSheetId="5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9">PSR!#REF!</definedName>
    <definedName name="外部資料_155" localSheetId="3">公司債!#REF!</definedName>
    <definedName name="外部資料_155" localSheetId="2">紅綠燈!#REF!</definedName>
    <definedName name="外部資料_155" localSheetId="5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9">PSR!#REF!</definedName>
    <definedName name="外部資料_156" localSheetId="3">公司債!#REF!</definedName>
    <definedName name="外部資料_156" localSheetId="5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9">PSR!#REF!</definedName>
    <definedName name="外部資料_157" localSheetId="3">公司債!#REF!</definedName>
    <definedName name="外部資料_157" localSheetId="5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9">PSR!#REF!</definedName>
    <definedName name="外部資料_158" localSheetId="3">公司債!#REF!</definedName>
    <definedName name="外部資料_158" localSheetId="5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9">PSR!#REF!</definedName>
    <definedName name="外部資料_159" localSheetId="3">公司債!#REF!</definedName>
    <definedName name="外部資料_159" localSheetId="5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9">PSR!#REF!</definedName>
    <definedName name="外部資料_16" localSheetId="3">公司債!#REF!</definedName>
    <definedName name="外部資料_16" localSheetId="2">紅綠燈!#REF!</definedName>
    <definedName name="外部資料_16" localSheetId="5">評比系統!#REF!</definedName>
    <definedName name="外部資料_16" localSheetId="18">福邦!#REF!</definedName>
    <definedName name="外部資料_16" localSheetId="6">篩股系統!#REF!</definedName>
    <definedName name="外部資料_16" localSheetId="8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9">PSR!#REF!</definedName>
    <definedName name="外部資料_160" localSheetId="3">公司債!#REF!</definedName>
    <definedName name="外部資料_160" localSheetId="5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9">PSR!#REF!</definedName>
    <definedName name="外部資料_161" localSheetId="3">公司債!#REF!</definedName>
    <definedName name="外部資料_161" localSheetId="5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9">PSR!#REF!</definedName>
    <definedName name="外部資料_162" localSheetId="3">公司債!#REF!</definedName>
    <definedName name="外部資料_162" localSheetId="5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9">PSR!#REF!</definedName>
    <definedName name="外部資料_163" localSheetId="3">公司債!#REF!</definedName>
    <definedName name="外部資料_163" localSheetId="5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6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9">PSR!#REF!</definedName>
    <definedName name="外部資料_164" localSheetId="3">公司債!#REF!</definedName>
    <definedName name="外部資料_164" localSheetId="5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9">PSR!#REF!</definedName>
    <definedName name="外部資料_165" localSheetId="3">公司債!#REF!</definedName>
    <definedName name="外部資料_165" localSheetId="5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9">PSR!#REF!</definedName>
    <definedName name="外部資料_166" localSheetId="3">公司債!#REF!</definedName>
    <definedName name="外部資料_166" localSheetId="5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6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9">PSR!#REF!</definedName>
    <definedName name="外部資料_167" localSheetId="3">公司債!#REF!</definedName>
    <definedName name="外部資料_167" localSheetId="5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9">PSR!#REF!</definedName>
    <definedName name="外部資料_168" localSheetId="3">公司債!#REF!</definedName>
    <definedName name="外部資料_168" localSheetId="5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9">PSR!#REF!</definedName>
    <definedName name="外部資料_169" localSheetId="3">公司債!#REF!</definedName>
    <definedName name="外部資料_169" localSheetId="5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9">PSR!#REF!</definedName>
    <definedName name="外部資料_17" localSheetId="3">公司債!#REF!</definedName>
    <definedName name="外部資料_17" localSheetId="2">紅綠燈!#REF!</definedName>
    <definedName name="外部資料_17" localSheetId="5">評比系統!#REF!</definedName>
    <definedName name="外部資料_17" localSheetId="18">福邦!#REF!</definedName>
    <definedName name="外部資料_17" localSheetId="6">篩股系統!#REF!</definedName>
    <definedName name="外部資料_17" localSheetId="8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9">PSR!#REF!</definedName>
    <definedName name="外部資料_170" localSheetId="3">公司債!#REF!</definedName>
    <definedName name="外部資料_170" localSheetId="5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9">PSR!#REF!</definedName>
    <definedName name="外部資料_171" localSheetId="3">公司債!#REF!</definedName>
    <definedName name="外部資料_171" localSheetId="5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9">PSR!#REF!</definedName>
    <definedName name="外部資料_172" localSheetId="3">公司債!#REF!</definedName>
    <definedName name="外部資料_172" localSheetId="5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9">PSR!#REF!</definedName>
    <definedName name="外部資料_173" localSheetId="3">公司債!#REF!</definedName>
    <definedName name="外部資料_173" localSheetId="5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9">PSR!#REF!</definedName>
    <definedName name="外部資料_174" localSheetId="3">公司債!#REF!</definedName>
    <definedName name="外部資料_174" localSheetId="5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9">PSR!#REF!</definedName>
    <definedName name="外部資料_175" localSheetId="3">公司債!#REF!</definedName>
    <definedName name="外部資料_175" localSheetId="5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9">PSR!#REF!</definedName>
    <definedName name="外部資料_176" localSheetId="3">公司債!#REF!</definedName>
    <definedName name="外部資料_176" localSheetId="5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9">PSR!#REF!</definedName>
    <definedName name="外部資料_177" localSheetId="3">公司債!#REF!</definedName>
    <definedName name="外部資料_177" localSheetId="5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9">PSR!#REF!</definedName>
    <definedName name="外部資料_178" localSheetId="3">公司債!#REF!</definedName>
    <definedName name="外部資料_178" localSheetId="5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9">PSR!#REF!</definedName>
    <definedName name="外部資料_179" localSheetId="3">公司債!#REF!</definedName>
    <definedName name="外部資料_179" localSheetId="5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9">PSR!#REF!</definedName>
    <definedName name="外部資料_18" localSheetId="3">公司債!#REF!</definedName>
    <definedName name="外部資料_18" localSheetId="2">紅綠燈!#REF!</definedName>
    <definedName name="外部資料_18" localSheetId="5">評比系統!#REF!</definedName>
    <definedName name="外部資料_18" localSheetId="18">福邦!#REF!</definedName>
    <definedName name="外部資料_18" localSheetId="6">篩股系統!#REF!</definedName>
    <definedName name="外部資料_18" localSheetId="8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9">PSR!#REF!</definedName>
    <definedName name="外部資料_180" localSheetId="3">公司債!#REF!</definedName>
    <definedName name="外部資料_180" localSheetId="5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9">PSR!#REF!</definedName>
    <definedName name="外部資料_181" localSheetId="3">公司債!#REF!</definedName>
    <definedName name="外部資料_181" localSheetId="5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9">PSR!#REF!</definedName>
    <definedName name="外部資料_182" localSheetId="3">公司債!#REF!</definedName>
    <definedName name="外部資料_182" localSheetId="5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9">PSR!#REF!</definedName>
    <definedName name="外部資料_183" localSheetId="3">公司債!#REF!</definedName>
    <definedName name="外部資料_183" localSheetId="5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9">PSR!#REF!</definedName>
    <definedName name="外部資料_184" localSheetId="3">公司債!#REF!</definedName>
    <definedName name="外部資料_184" localSheetId="5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9">PSR!#REF!</definedName>
    <definedName name="外部資料_185" localSheetId="3">公司債!#REF!</definedName>
    <definedName name="外部資料_185" localSheetId="5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9">PSR!#REF!</definedName>
    <definedName name="外部資料_186" localSheetId="3">公司債!#REF!</definedName>
    <definedName name="外部資料_186" localSheetId="5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9">PSR!#REF!</definedName>
    <definedName name="外部資料_187" localSheetId="3">公司債!#REF!</definedName>
    <definedName name="外部資料_187" localSheetId="5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9">PSR!#REF!</definedName>
    <definedName name="外部資料_188" localSheetId="3">公司債!#REF!</definedName>
    <definedName name="外部資料_188" localSheetId="5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9">PSR!#REF!</definedName>
    <definedName name="外部資料_189" localSheetId="3">公司債!#REF!</definedName>
    <definedName name="外部資料_189" localSheetId="5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9">PSR!#REF!</definedName>
    <definedName name="外部資料_19" localSheetId="3">公司債!#REF!</definedName>
    <definedName name="外部資料_19" localSheetId="2">紅綠燈!#REF!</definedName>
    <definedName name="外部資料_19" localSheetId="5">評比系統!#REF!</definedName>
    <definedName name="外部資料_19" localSheetId="18">福邦!#REF!</definedName>
    <definedName name="外部資料_19" localSheetId="6">篩股系統!#REF!</definedName>
    <definedName name="外部資料_19" localSheetId="8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9">PSR!#REF!</definedName>
    <definedName name="外部資料_190" localSheetId="3">公司債!#REF!</definedName>
    <definedName name="外部資料_190" localSheetId="5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9">PSR!#REF!</definedName>
    <definedName name="外部資料_191" localSheetId="3">公司債!#REF!</definedName>
    <definedName name="外部資料_191" localSheetId="5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9">PSR!#REF!</definedName>
    <definedName name="外部資料_192" localSheetId="3">公司債!#REF!</definedName>
    <definedName name="外部資料_192" localSheetId="5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9">PSR!#REF!</definedName>
    <definedName name="外部資料_193" localSheetId="3">公司債!#REF!</definedName>
    <definedName name="外部資料_193" localSheetId="5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9">PSR!#REF!</definedName>
    <definedName name="外部資料_194" localSheetId="3">公司債!#REF!</definedName>
    <definedName name="外部資料_194" localSheetId="5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9">PSR!#REF!</definedName>
    <definedName name="外部資料_195" localSheetId="3">公司債!#REF!</definedName>
    <definedName name="外部資料_195" localSheetId="5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9">PSR!#REF!</definedName>
    <definedName name="外部資料_196" localSheetId="3">公司債!#REF!</definedName>
    <definedName name="外部資料_196" localSheetId="5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9">PSR!#REF!</definedName>
    <definedName name="外部資料_197" localSheetId="3">公司債!#REF!</definedName>
    <definedName name="外部資料_197" localSheetId="5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9">PSR!#REF!</definedName>
    <definedName name="外部資料_198" localSheetId="3">公司債!#REF!</definedName>
    <definedName name="外部資料_198" localSheetId="5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9">PSR!#REF!</definedName>
    <definedName name="外部資料_199" localSheetId="3">公司債!#REF!</definedName>
    <definedName name="外部資料_199" localSheetId="5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9">PSR!#REF!</definedName>
    <definedName name="外部資料_2" localSheetId="3">公司債!#REF!</definedName>
    <definedName name="外部資料_2" localSheetId="2">紅綠燈!#REF!</definedName>
    <definedName name="外部資料_2" localSheetId="5">評比系統!#REF!</definedName>
    <definedName name="外部資料_2" localSheetId="18">福邦!#REF!</definedName>
    <definedName name="外部資料_2" localSheetId="6">篩股系統!#REF!</definedName>
    <definedName name="外部資料_2" localSheetId="8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9">PSR!#REF!</definedName>
    <definedName name="外部資料_20" localSheetId="3">公司債!#REF!</definedName>
    <definedName name="外部資料_20" localSheetId="2">紅綠燈!#REF!</definedName>
    <definedName name="外部資料_20" localSheetId="5">評比系統!#REF!</definedName>
    <definedName name="外部資料_20" localSheetId="18">福邦!#REF!</definedName>
    <definedName name="外部資料_20" localSheetId="6">篩股系統!#REF!</definedName>
    <definedName name="外部資料_20" localSheetId="8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9">PSR!#REF!</definedName>
    <definedName name="外部資料_200" localSheetId="3">公司債!#REF!</definedName>
    <definedName name="外部資料_200" localSheetId="5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9">PSR!#REF!</definedName>
    <definedName name="外部資料_201" localSheetId="3">公司債!#REF!</definedName>
    <definedName name="外部資料_201" localSheetId="5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9">PSR!#REF!</definedName>
    <definedName name="外部資料_202" localSheetId="3">公司債!#REF!</definedName>
    <definedName name="外部資料_202" localSheetId="5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9">PSR!#REF!</definedName>
    <definedName name="外部資料_203" localSheetId="3">公司債!#REF!</definedName>
    <definedName name="外部資料_203" localSheetId="5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9">PSR!#REF!</definedName>
    <definedName name="外部資料_204" localSheetId="3">公司債!#REF!</definedName>
    <definedName name="外部資料_204" localSheetId="5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9">PSR!#REF!</definedName>
    <definedName name="外部資料_205" localSheetId="3">公司債!#REF!</definedName>
    <definedName name="外部資料_205" localSheetId="5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9">PSR!#REF!</definedName>
    <definedName name="外部資料_206" localSheetId="3">公司債!#REF!</definedName>
    <definedName name="外部資料_206" localSheetId="5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9">PSR!#REF!</definedName>
    <definedName name="外部資料_207" localSheetId="3">公司債!#REF!</definedName>
    <definedName name="外部資料_207" localSheetId="5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9">PSR!#REF!</definedName>
    <definedName name="外部資料_208" localSheetId="3">公司債!#REF!</definedName>
    <definedName name="外部資料_208" localSheetId="5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9">PSR!#REF!</definedName>
    <definedName name="外部資料_209" localSheetId="3">公司債!#REF!</definedName>
    <definedName name="外部資料_209" localSheetId="5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9">PSR!#REF!</definedName>
    <definedName name="外部資料_21" localSheetId="3">公司債!#REF!</definedName>
    <definedName name="外部資料_21" localSheetId="2">紅綠燈!#REF!</definedName>
    <definedName name="外部資料_21" localSheetId="5">評比系統!#REF!</definedName>
    <definedName name="外部資料_21" localSheetId="18">福邦!#REF!</definedName>
    <definedName name="外部資料_21" localSheetId="6">篩股系統!#REF!</definedName>
    <definedName name="外部資料_21" localSheetId="8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9">PSR!#REF!</definedName>
    <definedName name="外部資料_210" localSheetId="3">公司債!#REF!</definedName>
    <definedName name="外部資料_210" localSheetId="5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9">PSR!#REF!</definedName>
    <definedName name="外部資料_211" localSheetId="3">公司債!#REF!</definedName>
    <definedName name="外部資料_211" localSheetId="5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9">PSR!#REF!</definedName>
    <definedName name="外部資料_212" localSheetId="3">公司債!#REF!</definedName>
    <definedName name="外部資料_212" localSheetId="5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9">PSR!#REF!</definedName>
    <definedName name="外部資料_213" localSheetId="3">公司債!#REF!</definedName>
    <definedName name="外部資料_213" localSheetId="5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9">PSR!#REF!</definedName>
    <definedName name="外部資料_214" localSheetId="3">公司債!#REF!</definedName>
    <definedName name="外部資料_214" localSheetId="5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9">PSR!#REF!</definedName>
    <definedName name="外部資料_215" localSheetId="3">公司債!#REF!</definedName>
    <definedName name="外部資料_215" localSheetId="5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9">PSR!#REF!</definedName>
    <definedName name="外部資料_216" localSheetId="3">公司債!#REF!</definedName>
    <definedName name="外部資料_216" localSheetId="5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9">PSR!#REF!</definedName>
    <definedName name="外部資料_217" localSheetId="3">公司債!#REF!</definedName>
    <definedName name="外部資料_217" localSheetId="5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9">PSR!#REF!</definedName>
    <definedName name="外部資料_218" localSheetId="3">公司債!#REF!</definedName>
    <definedName name="外部資料_218" localSheetId="5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6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9">PSR!#REF!</definedName>
    <definedName name="外部資料_219" localSheetId="3">公司債!#REF!</definedName>
    <definedName name="外部資料_219" localSheetId="5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9">PSR!#REF!</definedName>
    <definedName name="外部資料_22" localSheetId="3">公司債!#REF!</definedName>
    <definedName name="外部資料_22" localSheetId="2">紅綠燈!#REF!</definedName>
    <definedName name="外部資料_22" localSheetId="5">評比系統!#REF!</definedName>
    <definedName name="外部資料_22" localSheetId="18">福邦!#REF!</definedName>
    <definedName name="外部資料_22" localSheetId="6">篩股系統!#REF!</definedName>
    <definedName name="外部資料_22" localSheetId="8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9">PSR!#REF!</definedName>
    <definedName name="外部資料_220" localSheetId="3">公司債!#REF!</definedName>
    <definedName name="外部資料_220" localSheetId="5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9">PSR!#REF!</definedName>
    <definedName name="外部資料_221" localSheetId="3">公司債!#REF!</definedName>
    <definedName name="外部資料_221" localSheetId="5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9">PSR!#REF!</definedName>
    <definedName name="外部資料_222" localSheetId="3">公司債!#REF!</definedName>
    <definedName name="外部資料_222" localSheetId="5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9">PSR!#REF!</definedName>
    <definedName name="外部資料_223" localSheetId="3">公司債!#REF!</definedName>
    <definedName name="外部資料_223" localSheetId="5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9">PSR!#REF!</definedName>
    <definedName name="外部資料_224" localSheetId="3">公司債!#REF!</definedName>
    <definedName name="外部資料_224" localSheetId="5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9">PSR!#REF!</definedName>
    <definedName name="外部資料_225" localSheetId="3">公司債!#REF!</definedName>
    <definedName name="外部資料_225" localSheetId="5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9">PSR!#REF!</definedName>
    <definedName name="外部資料_226" localSheetId="3">公司債!#REF!</definedName>
    <definedName name="外部資料_226" localSheetId="5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9">PSR!#REF!</definedName>
    <definedName name="外部資料_227" localSheetId="3">公司債!#REF!</definedName>
    <definedName name="外部資料_227" localSheetId="5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9">PSR!#REF!</definedName>
    <definedName name="外部資料_228" localSheetId="3">公司債!#REF!</definedName>
    <definedName name="外部資料_228" localSheetId="5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9">PSR!#REF!</definedName>
    <definedName name="外部資料_229" localSheetId="3">公司債!#REF!</definedName>
    <definedName name="外部資料_229" localSheetId="5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9">PSR!#REF!</definedName>
    <definedName name="外部資料_23" localSheetId="3">公司債!#REF!</definedName>
    <definedName name="外部資料_23" localSheetId="2">紅綠燈!#REF!</definedName>
    <definedName name="外部資料_23" localSheetId="5">評比系統!#REF!</definedName>
    <definedName name="外部資料_23" localSheetId="18">福邦!#REF!</definedName>
    <definedName name="外部資料_23" localSheetId="6">篩股系統!#REF!</definedName>
    <definedName name="外部資料_23" localSheetId="8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9">PSR!#REF!</definedName>
    <definedName name="外部資料_230" localSheetId="3">公司債!#REF!</definedName>
    <definedName name="外部資料_230" localSheetId="5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9">PSR!#REF!</definedName>
    <definedName name="外部資料_231" localSheetId="3">公司債!#REF!</definedName>
    <definedName name="外部資料_231" localSheetId="5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9">PSR!#REF!</definedName>
    <definedName name="外部資料_232" localSheetId="3">公司債!#REF!</definedName>
    <definedName name="外部資料_232" localSheetId="5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9">PSR!#REF!</definedName>
    <definedName name="外部資料_233" localSheetId="3">公司債!#REF!</definedName>
    <definedName name="外部資料_233" localSheetId="5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9">PSR!#REF!</definedName>
    <definedName name="外部資料_234" localSheetId="3">公司債!#REF!</definedName>
    <definedName name="外部資料_234" localSheetId="5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9">PSR!#REF!</definedName>
    <definedName name="外部資料_235" localSheetId="3">公司債!#REF!</definedName>
    <definedName name="外部資料_235" localSheetId="5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9">PSR!#REF!</definedName>
    <definedName name="外部資料_236" localSheetId="3">公司債!#REF!</definedName>
    <definedName name="外部資料_236" localSheetId="5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9">PSR!#REF!</definedName>
    <definedName name="外部資料_237" localSheetId="3">公司債!#REF!</definedName>
    <definedName name="外部資料_237" localSheetId="5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9">PSR!#REF!</definedName>
    <definedName name="外部資料_238" localSheetId="3">公司債!#REF!</definedName>
    <definedName name="外部資料_238" localSheetId="5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9">PSR!#REF!</definedName>
    <definedName name="外部資料_239" localSheetId="3">公司債!#REF!</definedName>
    <definedName name="外部資料_239" localSheetId="5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9">PSR!#REF!</definedName>
    <definedName name="外部資料_24" localSheetId="3">公司債!#REF!</definedName>
    <definedName name="外部資料_24" localSheetId="2">紅綠燈!#REF!</definedName>
    <definedName name="外部資料_24" localSheetId="5">評比系統!#REF!</definedName>
    <definedName name="外部資料_24" localSheetId="18">福邦!#REF!</definedName>
    <definedName name="外部資料_24" localSheetId="6">篩股系統!#REF!</definedName>
    <definedName name="外部資料_24" localSheetId="8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9">PSR!#REF!</definedName>
    <definedName name="外部資料_240" localSheetId="3">公司債!#REF!</definedName>
    <definedName name="外部資料_240" localSheetId="5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9">PSR!#REF!</definedName>
    <definedName name="外部資料_241" localSheetId="3">公司債!#REF!</definedName>
    <definedName name="外部資料_241" localSheetId="5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9">PSR!#REF!</definedName>
    <definedName name="外部資料_242" localSheetId="3">公司債!#REF!</definedName>
    <definedName name="外部資料_242" localSheetId="5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9">PSR!#REF!</definedName>
    <definedName name="外部資料_243" localSheetId="3">公司債!#REF!</definedName>
    <definedName name="外部資料_243" localSheetId="5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9">PSR!#REF!</definedName>
    <definedName name="外部資料_244" localSheetId="3">公司債!#REF!</definedName>
    <definedName name="外部資料_244" localSheetId="5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9">PSR!#REF!</definedName>
    <definedName name="外部資料_245" localSheetId="3">公司債!#REF!</definedName>
    <definedName name="外部資料_245" localSheetId="5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9">PSR!#REF!</definedName>
    <definedName name="外部資料_246" localSheetId="3">公司債!#REF!</definedName>
    <definedName name="外部資料_246" localSheetId="5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9">PSR!#REF!</definedName>
    <definedName name="外部資料_247" localSheetId="3">公司債!#REF!</definedName>
    <definedName name="外部資料_247" localSheetId="5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9">PSR!#REF!</definedName>
    <definedName name="外部資料_248" localSheetId="3">公司債!#REF!</definedName>
    <definedName name="外部資料_248" localSheetId="5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9">PSR!#REF!</definedName>
    <definedName name="外部資料_249" localSheetId="3">公司債!#REF!</definedName>
    <definedName name="外部資料_249" localSheetId="5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9">PSR!#REF!</definedName>
    <definedName name="外部資料_25" localSheetId="3">公司債!#REF!</definedName>
    <definedName name="外部資料_25" localSheetId="2">紅綠燈!#REF!</definedName>
    <definedName name="外部資料_25" localSheetId="5">評比系統!#REF!</definedName>
    <definedName name="外部資料_25" localSheetId="18">福邦!#REF!</definedName>
    <definedName name="外部資料_25" localSheetId="6">篩股系統!#REF!</definedName>
    <definedName name="外部資料_25" localSheetId="8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9">PSR!#REF!</definedName>
    <definedName name="外部資料_250" localSheetId="3">公司債!#REF!</definedName>
    <definedName name="外部資料_250" localSheetId="5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9">PSR!#REF!</definedName>
    <definedName name="外部資料_251" localSheetId="3">公司債!#REF!</definedName>
    <definedName name="外部資料_251" localSheetId="5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9">PSR!#REF!</definedName>
    <definedName name="外部資料_252" localSheetId="3">公司債!#REF!</definedName>
    <definedName name="外部資料_252" localSheetId="5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9">PSR!#REF!</definedName>
    <definedName name="外部資料_253" localSheetId="3">公司債!#REF!</definedName>
    <definedName name="外部資料_253" localSheetId="5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9">PSR!#REF!</definedName>
    <definedName name="外部資料_254" localSheetId="3">公司債!#REF!</definedName>
    <definedName name="外部資料_254" localSheetId="5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9">PSR!#REF!</definedName>
    <definedName name="外部資料_255" localSheetId="3">公司債!#REF!</definedName>
    <definedName name="外部資料_255" localSheetId="5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9">PSR!#REF!</definedName>
    <definedName name="外部資料_256" localSheetId="3">公司債!#REF!</definedName>
    <definedName name="外部資料_256" localSheetId="5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9">PSR!#REF!</definedName>
    <definedName name="外部資料_257" localSheetId="3">公司債!#REF!</definedName>
    <definedName name="外部資料_257" localSheetId="5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9">PSR!#REF!</definedName>
    <definedName name="外部資料_258" localSheetId="3">公司債!#REF!</definedName>
    <definedName name="外部資料_258" localSheetId="5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9">PSR!#REF!</definedName>
    <definedName name="外部資料_259" localSheetId="3">公司債!#REF!</definedName>
    <definedName name="外部資料_259" localSheetId="5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9">PSR!#REF!</definedName>
    <definedName name="外部資料_26" localSheetId="3">公司債!#REF!</definedName>
    <definedName name="外部資料_26" localSheetId="2">紅綠燈!#REF!</definedName>
    <definedName name="外部資料_26" localSheetId="5">評比系統!#REF!</definedName>
    <definedName name="外部資料_26" localSheetId="18">福邦!#REF!</definedName>
    <definedName name="外部資料_26" localSheetId="6">篩股系統!#REF!</definedName>
    <definedName name="外部資料_26" localSheetId="8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9">PSR!#REF!</definedName>
    <definedName name="外部資料_260" localSheetId="3">公司債!#REF!</definedName>
    <definedName name="外部資料_260" localSheetId="5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9">PSR!#REF!</definedName>
    <definedName name="外部資料_261" localSheetId="3">公司債!#REF!</definedName>
    <definedName name="外部資料_261" localSheetId="5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9">PSR!#REF!</definedName>
    <definedName name="外部資料_262" localSheetId="3">公司債!#REF!</definedName>
    <definedName name="外部資料_262" localSheetId="5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9">PSR!#REF!</definedName>
    <definedName name="外部資料_263" localSheetId="3">公司債!#REF!</definedName>
    <definedName name="外部資料_263" localSheetId="5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9">PSR!#REF!</definedName>
    <definedName name="外部資料_264" localSheetId="3">公司債!#REF!</definedName>
    <definedName name="外部資料_264" localSheetId="5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9">PSR!#REF!</definedName>
    <definedName name="外部資料_265" localSheetId="3">公司債!#REF!</definedName>
    <definedName name="外部資料_265" localSheetId="5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9">PSR!#REF!</definedName>
    <definedName name="外部資料_266" localSheetId="3">公司債!#REF!</definedName>
    <definedName name="外部資料_266" localSheetId="5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9">PSR!#REF!</definedName>
    <definedName name="外部資料_267" localSheetId="3">公司債!#REF!</definedName>
    <definedName name="外部資料_267" localSheetId="5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9">PSR!#REF!</definedName>
    <definedName name="外部資料_268" localSheetId="3">公司債!#REF!</definedName>
    <definedName name="外部資料_268" localSheetId="5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9">PSR!#REF!</definedName>
    <definedName name="外部資料_269" localSheetId="3">公司債!#REF!</definedName>
    <definedName name="外部資料_269" localSheetId="5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9">PSR!#REF!</definedName>
    <definedName name="外部資料_27" localSheetId="3">公司債!#REF!</definedName>
    <definedName name="外部資料_27" localSheetId="5">評比系統!#REF!</definedName>
    <definedName name="外部資料_27" localSheetId="18">福邦!#REF!</definedName>
    <definedName name="外部資料_27" localSheetId="6">篩股系統!#REF!</definedName>
    <definedName name="外部資料_27" localSheetId="8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9">PSR!#REF!</definedName>
    <definedName name="外部資料_270" localSheetId="3">公司債!#REF!</definedName>
    <definedName name="外部資料_270" localSheetId="5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9">PSR!#REF!</definedName>
    <definedName name="外部資料_271" localSheetId="3">公司債!#REF!</definedName>
    <definedName name="外部資料_271" localSheetId="5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9">PSR!#REF!</definedName>
    <definedName name="外部資料_272" localSheetId="3">公司債!#REF!</definedName>
    <definedName name="外部資料_272" localSheetId="5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9">PSR!#REF!</definedName>
    <definedName name="外部資料_273" localSheetId="3">公司債!#REF!</definedName>
    <definedName name="外部資料_273" localSheetId="5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9">PSR!#REF!</definedName>
    <definedName name="外部資料_274" localSheetId="3">公司債!#REF!</definedName>
    <definedName name="外部資料_274" localSheetId="5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9">PSR!#REF!</definedName>
    <definedName name="外部資料_275" localSheetId="3">公司債!#REF!</definedName>
    <definedName name="外部資料_275" localSheetId="5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9">PSR!#REF!</definedName>
    <definedName name="外部資料_276" localSheetId="3">公司債!#REF!</definedName>
    <definedName name="外部資料_276" localSheetId="5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9">PSR!#REF!</definedName>
    <definedName name="外部資料_277" localSheetId="3">公司債!#REF!</definedName>
    <definedName name="外部資料_277" localSheetId="5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9">PSR!#REF!</definedName>
    <definedName name="外部資料_278" localSheetId="3">公司債!#REF!</definedName>
    <definedName name="外部資料_278" localSheetId="5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6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9">PSR!#REF!</definedName>
    <definedName name="外部資料_279" localSheetId="3">公司債!#REF!</definedName>
    <definedName name="外部資料_279" localSheetId="5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9">PSR!#REF!</definedName>
    <definedName name="外部資料_28" localSheetId="3">公司債!#REF!</definedName>
    <definedName name="外部資料_28" localSheetId="2">紅綠燈!#REF!</definedName>
    <definedName name="外部資料_28" localSheetId="5">評比系統!#REF!</definedName>
    <definedName name="外部資料_28" localSheetId="18">福邦!#REF!</definedName>
    <definedName name="外部資料_28" localSheetId="6">篩股系統!#REF!</definedName>
    <definedName name="外部資料_28" localSheetId="8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9">PSR!#REF!</definedName>
    <definedName name="外部資料_280" localSheetId="3">公司債!#REF!</definedName>
    <definedName name="外部資料_280" localSheetId="5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9">PSR!#REF!</definedName>
    <definedName name="外部資料_281" localSheetId="3">公司債!#REF!</definedName>
    <definedName name="外部資料_281" localSheetId="5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6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9">PSR!#REF!</definedName>
    <definedName name="外部資料_282" localSheetId="3">公司債!#REF!</definedName>
    <definedName name="外部資料_282" localSheetId="5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9">PSR!#REF!</definedName>
    <definedName name="外部資料_283" localSheetId="3">公司債!#REF!</definedName>
    <definedName name="外部資料_283" localSheetId="5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6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6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9">PSR!#REF!</definedName>
    <definedName name="外部資料_284" localSheetId="3">公司債!#REF!</definedName>
    <definedName name="外部資料_284" localSheetId="5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3">公司債!#REF!</definedName>
    <definedName name="外部資料_285" localSheetId="5">評比系統!$T$1:$T$3</definedName>
    <definedName name="外部資料_285" localSheetId="18">福邦!#REF!</definedName>
    <definedName name="外部資料_2850" localSheetId="2">紅綠燈!#REF!</definedName>
    <definedName name="外部資料_2850" localSheetId="6">篩股系統!$D$3:$H$56</definedName>
    <definedName name="外部資料_2852" localSheetId="2">紅綠燈!#REF!</definedName>
    <definedName name="外部資料_2853" localSheetId="2">紅綠燈!#REF!</definedName>
    <definedName name="外部資料_2853" localSheetId="6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3">公司債!#REF!</definedName>
    <definedName name="外部資料_286" localSheetId="5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3">公司債!#REF!</definedName>
    <definedName name="外部資料_287" localSheetId="5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3">公司債!#REF!</definedName>
    <definedName name="外部資料_288" localSheetId="5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3">公司債!#REF!</definedName>
    <definedName name="外部資料_289" localSheetId="5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9">PSR!#REF!</definedName>
    <definedName name="外部資料_29" localSheetId="3">公司債!#REF!</definedName>
    <definedName name="外部資料_29" localSheetId="2">紅綠燈!#REF!</definedName>
    <definedName name="外部資料_29" localSheetId="5">評比系統!#REF!</definedName>
    <definedName name="外部資料_29" localSheetId="18">福邦!#REF!</definedName>
    <definedName name="外部資料_29" localSheetId="6">篩股系統!#REF!</definedName>
    <definedName name="外部資料_29" localSheetId="8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3">公司債!#REF!</definedName>
    <definedName name="外部資料_290" localSheetId="5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3">公司債!#REF!</definedName>
    <definedName name="外部資料_291" localSheetId="5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3">公司債!#REF!</definedName>
    <definedName name="外部資料_292" localSheetId="5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3">公司債!#REF!</definedName>
    <definedName name="外部資料_293" localSheetId="5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3">公司債!#REF!</definedName>
    <definedName name="外部資料_294" localSheetId="5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3">公司債!#REF!</definedName>
    <definedName name="外部資料_295" localSheetId="5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3">公司債!#REF!</definedName>
    <definedName name="外部資料_296" localSheetId="5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3">公司債!#REF!</definedName>
    <definedName name="外部資料_297" localSheetId="5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3">公司債!#REF!</definedName>
    <definedName name="外部資料_298" localSheetId="5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3">公司債!#REF!</definedName>
    <definedName name="外部資料_299" localSheetId="5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9">PSR!#REF!</definedName>
    <definedName name="外部資料_3" localSheetId="3">公司債!#REF!</definedName>
    <definedName name="外部資料_3" localSheetId="2">紅綠燈!#REF!</definedName>
    <definedName name="外部資料_3" localSheetId="5">評比系統!#REF!</definedName>
    <definedName name="外部資料_3" localSheetId="18">福邦!#REF!</definedName>
    <definedName name="外部資料_3" localSheetId="6">篩股系統!#REF!</definedName>
    <definedName name="外部資料_3" localSheetId="8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9">PSR!#REF!</definedName>
    <definedName name="外部資料_30" localSheetId="3">公司債!#REF!</definedName>
    <definedName name="外部資料_30" localSheetId="2">紅綠燈!#REF!</definedName>
    <definedName name="外部資料_30" localSheetId="5">評比系統!#REF!</definedName>
    <definedName name="外部資料_30" localSheetId="18">福邦!#REF!</definedName>
    <definedName name="外部資料_30" localSheetId="6">篩股系統!#REF!</definedName>
    <definedName name="外部資料_30" localSheetId="8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3">公司債!#REF!</definedName>
    <definedName name="外部資料_300" localSheetId="5">評比系統!$T$1:$T$3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3">公司債!#REF!</definedName>
    <definedName name="外部資料_301" localSheetId="5">評比系統!$T$1:$T$3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3">公司債!#REF!</definedName>
    <definedName name="外部資料_302" localSheetId="5">評比系統!$T$1:$T$3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3">公司債!#REF!</definedName>
    <definedName name="外部資料_303" localSheetId="5">評比系統!$T$1:$T$3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3">公司債!#REF!</definedName>
    <definedName name="外部資料_304" localSheetId="5">評比系統!$T$1:$T$3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3">公司債!#REF!</definedName>
    <definedName name="外部資料_305" localSheetId="5">評比系統!$T$1:$T$3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3">公司債!#REF!</definedName>
    <definedName name="外部資料_306" localSheetId="5">評比系統!$T$1:$T$3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3">公司債!#REF!</definedName>
    <definedName name="外部資料_307" localSheetId="5">評比系統!$T$1:$T$3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3">公司債!#REF!</definedName>
    <definedName name="外部資料_308" localSheetId="5">評比系統!$T$1:$T$3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3">公司債!#REF!</definedName>
    <definedName name="外部資料_309" localSheetId="5">評比系統!$T$1:$T$3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9">PSR!#REF!</definedName>
    <definedName name="外部資料_31" localSheetId="3">公司債!#REF!</definedName>
    <definedName name="外部資料_31" localSheetId="5">評比系統!#REF!</definedName>
    <definedName name="外部資料_31" localSheetId="18">福邦!#REF!</definedName>
    <definedName name="外部資料_31" localSheetId="6">篩股系統!#REF!</definedName>
    <definedName name="外部資料_31" localSheetId="8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3">公司債!#REF!</definedName>
    <definedName name="外部資料_310" localSheetId="5">評比系統!$T$1:$T$3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3">公司債!#REF!</definedName>
    <definedName name="外部資料_311" localSheetId="5">評比系統!$T$1:$T$3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3">公司債!#REF!</definedName>
    <definedName name="外部資料_312" localSheetId="5">評比系統!$T$1:$T$3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3">公司債!#REF!</definedName>
    <definedName name="外部資料_313" localSheetId="5">評比系統!$T$1:$T$3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3">公司債!#REF!</definedName>
    <definedName name="外部資料_314" localSheetId="5">評比系統!$T$1:$T$3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3">公司債!#REF!</definedName>
    <definedName name="外部資料_315" localSheetId="5">評比系統!$T$1:$T$3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3">公司債!#REF!</definedName>
    <definedName name="外部資料_316" localSheetId="5">評比系統!$T$1:$T$3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3">公司債!#REF!</definedName>
    <definedName name="外部資料_317" localSheetId="5">評比系統!$T$1:$T$3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3">公司債!#REF!</definedName>
    <definedName name="外部資料_318" localSheetId="5">評比系統!$T$1:$T$3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3">公司債!#REF!</definedName>
    <definedName name="外部資料_319" localSheetId="5">評比系統!$T$1:$T$3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9">PSR!#REF!</definedName>
    <definedName name="外部資料_32" localSheetId="3">公司債!#REF!</definedName>
    <definedName name="外部資料_32" localSheetId="2">紅綠燈!#REF!</definedName>
    <definedName name="外部資料_32" localSheetId="5">評比系統!#REF!</definedName>
    <definedName name="外部資料_32" localSheetId="18">福邦!#REF!</definedName>
    <definedName name="外部資料_32" localSheetId="6">篩股系統!#REF!</definedName>
    <definedName name="外部資料_32" localSheetId="8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3">公司債!#REF!</definedName>
    <definedName name="外部資料_320" localSheetId="5">評比系統!$T$1:$T$3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3">公司債!#REF!</definedName>
    <definedName name="外部資料_321" localSheetId="5">評比系統!$T$1:$T$3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3">公司債!#REF!</definedName>
    <definedName name="外部資料_322" localSheetId="5">評比系統!$T$1:$T$3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3">公司債!#REF!</definedName>
    <definedName name="外部資料_323" localSheetId="5">評比系統!$T$1:$T$3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3">公司債!#REF!</definedName>
    <definedName name="外部資料_324" localSheetId="5">評比系統!$T$1:$T$3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3">公司債!#REF!</definedName>
    <definedName name="外部資料_325" localSheetId="5">評比系統!$T$1:$T$3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3">公司債!#REF!</definedName>
    <definedName name="外部資料_326" localSheetId="5">評比系統!$T$1:$T$3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3">公司債!#REF!</definedName>
    <definedName name="外部資料_327" localSheetId="5">評比系統!$T$1:$T$3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3">公司債!#REF!</definedName>
    <definedName name="外部資料_328" localSheetId="5">評比系統!$T$1:$T$3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3">公司債!#REF!</definedName>
    <definedName name="外部資料_329" localSheetId="5">評比系統!$T$1:$T$3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9">PSR!#REF!</definedName>
    <definedName name="外部資料_33" localSheetId="3">公司債!#REF!</definedName>
    <definedName name="外部資料_33" localSheetId="2">紅綠燈!#REF!</definedName>
    <definedName name="外部資料_33" localSheetId="5">評比系統!#REF!</definedName>
    <definedName name="外部資料_33" localSheetId="18">福邦!#REF!</definedName>
    <definedName name="外部資料_33" localSheetId="6">篩股系統!#REF!</definedName>
    <definedName name="外部資料_33" localSheetId="8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3">公司債!#REF!</definedName>
    <definedName name="外部資料_330" localSheetId="5">評比系統!$T$1:$T$3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3">公司債!#REF!</definedName>
    <definedName name="外部資料_331" localSheetId="5">評比系統!$T$1:$T$3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3">公司債!#REF!</definedName>
    <definedName name="外部資料_332" localSheetId="5">評比系統!$T$1:$T$3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3">公司債!#REF!</definedName>
    <definedName name="外部資料_333" localSheetId="5">評比系統!$T$1:$T$3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3">公司債!#REF!</definedName>
    <definedName name="外部資料_334" localSheetId="5">評比系統!$T$1:$T$3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3">公司債!#REF!</definedName>
    <definedName name="外部資料_335" localSheetId="5">評比系統!$T$1:$T$3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3">公司債!#REF!</definedName>
    <definedName name="外部資料_336" localSheetId="5">評比系統!$T$1:$T$3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3">公司債!#REF!</definedName>
    <definedName name="外部資料_337" localSheetId="5">評比系統!$T$1:$T$3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3">公司債!#REF!</definedName>
    <definedName name="外部資料_338" localSheetId="5">評比系統!$T$1:$T$3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3">公司債!#REF!</definedName>
    <definedName name="外部資料_339" localSheetId="5">評比系統!$T$1:$T$3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9">PSR!#REF!</definedName>
    <definedName name="外部資料_34" localSheetId="3">公司債!#REF!</definedName>
    <definedName name="外部資料_34" localSheetId="2">紅綠燈!#REF!</definedName>
    <definedName name="外部資料_34" localSheetId="5">評比系統!#REF!</definedName>
    <definedName name="外部資料_34" localSheetId="18">福邦!#REF!</definedName>
    <definedName name="外部資料_34" localSheetId="6">篩股系統!#REF!</definedName>
    <definedName name="外部資料_34" localSheetId="8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3">公司債!#REF!</definedName>
    <definedName name="外部資料_340" localSheetId="5">評比系統!$T$1:$T$3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3">公司債!#REF!</definedName>
    <definedName name="外部資料_341" localSheetId="5">評比系統!$T$1:$T$3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3">公司債!#REF!</definedName>
    <definedName name="外部資料_342" localSheetId="5">評比系統!$T$1:$T$3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3">公司債!#REF!</definedName>
    <definedName name="外部資料_343" localSheetId="5">評比系統!$T$1:$T$3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3">公司債!#REF!</definedName>
    <definedName name="外部資料_344" localSheetId="5">評比系統!$T$1:$T$3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3">公司債!#REF!</definedName>
    <definedName name="外部資料_345" localSheetId="5">評比系統!$T$1:$T$3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3">公司債!#REF!</definedName>
    <definedName name="外部資料_346" localSheetId="5">評比系統!$T$1:$T$3</definedName>
    <definedName name="外部資料_346" localSheetId="6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3">公司債!#REF!</definedName>
    <definedName name="外部資料_347" localSheetId="5">評比系統!$T$1:$T$3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3">公司債!#REF!</definedName>
    <definedName name="外部資料_348" localSheetId="5">評比系統!$T$1:$T$3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3">公司債!#REF!</definedName>
    <definedName name="外部資料_349" localSheetId="5">評比系統!$T$1:$T$3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9">PSR!#REF!</definedName>
    <definedName name="外部資料_35" localSheetId="3">公司債!#REF!</definedName>
    <definedName name="外部資料_35" localSheetId="2">紅綠燈!#REF!</definedName>
    <definedName name="外部資料_35" localSheetId="5">評比系統!#REF!</definedName>
    <definedName name="外部資料_35" localSheetId="18">福邦!#REF!</definedName>
    <definedName name="外部資料_35" localSheetId="6">篩股系統!#REF!</definedName>
    <definedName name="外部資料_35" localSheetId="8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3">公司債!#REF!</definedName>
    <definedName name="外部資料_350" localSheetId="5">評比系統!$T$1:$T$3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3">公司債!#REF!</definedName>
    <definedName name="外部資料_351" localSheetId="5">評比系統!$T$1:$T$3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3">公司債!#REF!</definedName>
    <definedName name="外部資料_352" localSheetId="5">評比系統!$T$1:$T$3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3">公司債!#REF!</definedName>
    <definedName name="外部資料_353" localSheetId="5">評比系統!$T$1:$T$3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3">公司債!#REF!</definedName>
    <definedName name="外部資料_354" localSheetId="5">評比系統!$T$1:$T$3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3">公司債!#REF!</definedName>
    <definedName name="外部資料_355" localSheetId="5">評比系統!$T$1:$T$3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3">公司債!#REF!</definedName>
    <definedName name="外部資料_356" localSheetId="5">評比系統!$T$1:$T$3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3">公司債!#REF!</definedName>
    <definedName name="外部資料_357" localSheetId="5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3">公司債!#REF!</definedName>
    <definedName name="外部資料_358" localSheetId="5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3">公司債!#REF!</definedName>
    <definedName name="外部資料_359" localSheetId="5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9">PSR!#REF!</definedName>
    <definedName name="外部資料_36" localSheetId="3">公司債!#REF!</definedName>
    <definedName name="外部資料_36" localSheetId="2">紅綠燈!#REF!</definedName>
    <definedName name="外部資料_36" localSheetId="5">評比系統!#REF!</definedName>
    <definedName name="外部資料_36" localSheetId="18">福邦!#REF!</definedName>
    <definedName name="外部資料_36" localSheetId="6">篩股系統!#REF!</definedName>
    <definedName name="外部資料_36" localSheetId="8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3">公司債!#REF!</definedName>
    <definedName name="外部資料_360" localSheetId="5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3">公司債!#REF!</definedName>
    <definedName name="外部資料_361" localSheetId="5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3">公司債!#REF!</definedName>
    <definedName name="外部資料_362" localSheetId="5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3">公司債!#REF!</definedName>
    <definedName name="外部資料_363" localSheetId="5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3">公司債!#REF!</definedName>
    <definedName name="外部資料_364" localSheetId="5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3">公司債!#REF!</definedName>
    <definedName name="外部資料_365" localSheetId="5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3">公司債!#REF!</definedName>
    <definedName name="外部資料_366" localSheetId="5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3">公司債!#REF!</definedName>
    <definedName name="外部資料_367" localSheetId="5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3">公司債!#REF!</definedName>
    <definedName name="外部資料_368" localSheetId="5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3">公司債!#REF!</definedName>
    <definedName name="外部資料_369" localSheetId="5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9">PSR!#REF!</definedName>
    <definedName name="外部資料_37" localSheetId="3">公司債!#REF!</definedName>
    <definedName name="外部資料_37" localSheetId="2">紅綠燈!#REF!</definedName>
    <definedName name="外部資料_37" localSheetId="5">評比系統!#REF!</definedName>
    <definedName name="外部資料_37" localSheetId="18">福邦!#REF!</definedName>
    <definedName name="外部資料_37" localSheetId="6">篩股系統!#REF!</definedName>
    <definedName name="外部資料_37" localSheetId="8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3">公司債!#REF!</definedName>
    <definedName name="外部資料_370" localSheetId="5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3">公司債!#REF!</definedName>
    <definedName name="外部資料_371" localSheetId="5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3">公司債!#REF!</definedName>
    <definedName name="外部資料_372" localSheetId="5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3">公司債!#REF!</definedName>
    <definedName name="外部資料_373" localSheetId="5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3">公司債!#REF!</definedName>
    <definedName name="外部資料_374" localSheetId="5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3">公司債!#REF!</definedName>
    <definedName name="外部資料_375" localSheetId="5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3">公司債!#REF!</definedName>
    <definedName name="外部資料_376" localSheetId="5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3">公司債!#REF!</definedName>
    <definedName name="外部資料_377" localSheetId="5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3">公司債!#REF!</definedName>
    <definedName name="外部資料_378" localSheetId="5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3">公司債!#REF!</definedName>
    <definedName name="外部資料_379" localSheetId="5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9">PSR!#REF!</definedName>
    <definedName name="外部資料_38" localSheetId="3">公司債!#REF!</definedName>
    <definedName name="外部資料_38" localSheetId="2">紅綠燈!#REF!</definedName>
    <definedName name="外部資料_38" localSheetId="5">評比系統!#REF!</definedName>
    <definedName name="外部資料_38" localSheetId="18">福邦!#REF!</definedName>
    <definedName name="外部資料_38" localSheetId="6">篩股系統!#REF!</definedName>
    <definedName name="外部資料_38" localSheetId="8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3">公司債!#REF!</definedName>
    <definedName name="外部資料_380" localSheetId="5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3">公司債!#REF!</definedName>
    <definedName name="外部資料_381" localSheetId="5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3">公司債!#REF!</definedName>
    <definedName name="外部資料_382" localSheetId="5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3">公司債!#REF!</definedName>
    <definedName name="外部資料_383" localSheetId="5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3">公司債!#REF!</definedName>
    <definedName name="外部資料_384" localSheetId="5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3">公司債!#REF!</definedName>
    <definedName name="外部資料_385" localSheetId="5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3">公司債!#REF!</definedName>
    <definedName name="外部資料_386" localSheetId="5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3">公司債!#REF!</definedName>
    <definedName name="外部資料_387" localSheetId="5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3">公司債!#REF!</definedName>
    <definedName name="外部資料_388" localSheetId="5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3">公司債!#REF!</definedName>
    <definedName name="外部資料_389" localSheetId="5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9">PSR!#REF!</definedName>
    <definedName name="外部資料_39" localSheetId="2">紅綠燈!#REF!</definedName>
    <definedName name="外部資料_39" localSheetId="5">評比系統!#REF!</definedName>
    <definedName name="外部資料_39" localSheetId="18">福邦!#REF!</definedName>
    <definedName name="外部資料_39" localSheetId="6">篩股系統!#REF!</definedName>
    <definedName name="外部資料_39" localSheetId="8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3">公司債!#REF!</definedName>
    <definedName name="外部資料_390" localSheetId="5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3">公司債!#REF!</definedName>
    <definedName name="外部資料_391" localSheetId="5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3">公司債!#REF!</definedName>
    <definedName name="外部資料_392" localSheetId="5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3">公司債!#REF!</definedName>
    <definedName name="外部資料_393" localSheetId="5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3">公司債!#REF!</definedName>
    <definedName name="外部資料_394" localSheetId="5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3">公司債!#REF!</definedName>
    <definedName name="外部資料_395" localSheetId="5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3">公司債!#REF!</definedName>
    <definedName name="外部資料_396" localSheetId="5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3">公司債!#REF!</definedName>
    <definedName name="外部資料_397" localSheetId="5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3">公司債!#REF!</definedName>
    <definedName name="外部資料_398" localSheetId="5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3">公司債!#REF!</definedName>
    <definedName name="外部資料_399" localSheetId="5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9">PSR!#REF!</definedName>
    <definedName name="外部資料_4" localSheetId="3">公司債!#REF!</definedName>
    <definedName name="外部資料_4" localSheetId="2">紅綠燈!#REF!</definedName>
    <definedName name="外部資料_4" localSheetId="5">評比系統!#REF!</definedName>
    <definedName name="外部資料_4" localSheetId="18">福邦!#REF!</definedName>
    <definedName name="外部資料_4" localSheetId="6">篩股系統!#REF!</definedName>
    <definedName name="外部資料_4" localSheetId="8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9">PSR!#REF!</definedName>
    <definedName name="外部資料_40" localSheetId="3">公司債!#REF!</definedName>
    <definedName name="外部資料_40" localSheetId="2">紅綠燈!#REF!</definedName>
    <definedName name="外部資料_40" localSheetId="5">評比系統!#REF!</definedName>
    <definedName name="外部資料_40" localSheetId="18">福邦!#REF!</definedName>
    <definedName name="外部資料_40" localSheetId="8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3">公司債!#REF!</definedName>
    <definedName name="外部資料_400" localSheetId="5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3">公司債!#REF!</definedName>
    <definedName name="外部資料_401" localSheetId="5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3">公司債!#REF!</definedName>
    <definedName name="外部資料_402" localSheetId="5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3">公司債!#REF!</definedName>
    <definedName name="外部資料_403" localSheetId="5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3">公司債!#REF!</definedName>
    <definedName name="外部資料_404" localSheetId="5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3">公司債!#REF!</definedName>
    <definedName name="外部資料_405" localSheetId="5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3">公司債!#REF!</definedName>
    <definedName name="外部資料_406" localSheetId="5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3">公司債!#REF!</definedName>
    <definedName name="外部資料_407" localSheetId="5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3">公司債!#REF!</definedName>
    <definedName name="外部資料_408" localSheetId="5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3">公司債!#REF!</definedName>
    <definedName name="外部資料_409" localSheetId="5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9">PSR!#REF!</definedName>
    <definedName name="外部資料_41" localSheetId="3">公司債!#REF!</definedName>
    <definedName name="外部資料_41" localSheetId="2">紅綠燈!#REF!</definedName>
    <definedName name="外部資料_41" localSheetId="5">評比系統!#REF!</definedName>
    <definedName name="外部資料_41" localSheetId="18">福邦!#REF!</definedName>
    <definedName name="外部資料_41" localSheetId="6">篩股系統!#REF!</definedName>
    <definedName name="外部資料_41" localSheetId="8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3">公司債!#REF!</definedName>
    <definedName name="外部資料_410" localSheetId="5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3">公司債!#REF!</definedName>
    <definedName name="外部資料_411" localSheetId="5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3">公司債!#REF!</definedName>
    <definedName name="外部資料_412" localSheetId="5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3">公司債!#REF!</definedName>
    <definedName name="外部資料_413" localSheetId="5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3">公司債!#REF!</definedName>
    <definedName name="外部資料_414" localSheetId="5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3">公司債!#REF!</definedName>
    <definedName name="外部資料_415" localSheetId="5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3">公司債!#REF!</definedName>
    <definedName name="外部資料_416" localSheetId="5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3">公司債!#REF!</definedName>
    <definedName name="外部資料_417" localSheetId="5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3">公司債!#REF!</definedName>
    <definedName name="外部資料_418" localSheetId="5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3">公司債!#REF!</definedName>
    <definedName name="外部資料_419" localSheetId="5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9">PSR!#REF!</definedName>
    <definedName name="外部資料_42" localSheetId="3">公司債!#REF!</definedName>
    <definedName name="外部資料_42" localSheetId="2">紅綠燈!#REF!</definedName>
    <definedName name="外部資料_42" localSheetId="5">評比系統!#REF!</definedName>
    <definedName name="外部資料_42" localSheetId="18">福邦!#REF!</definedName>
    <definedName name="外部資料_42" localSheetId="6">篩股系統!#REF!</definedName>
    <definedName name="外部資料_42" localSheetId="8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3">公司債!#REF!</definedName>
    <definedName name="外部資料_420" localSheetId="5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3">公司債!#REF!</definedName>
    <definedName name="外部資料_421" localSheetId="5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3">公司債!#REF!</definedName>
    <definedName name="外部資料_422" localSheetId="5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3">公司債!#REF!</definedName>
    <definedName name="外部資料_423" localSheetId="5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3">公司債!#REF!</definedName>
    <definedName name="外部資料_424" localSheetId="5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3">公司債!#REF!</definedName>
    <definedName name="外部資料_425" localSheetId="5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3">公司債!#REF!</definedName>
    <definedName name="外部資料_426" localSheetId="5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3">公司債!#REF!</definedName>
    <definedName name="外部資料_427" localSheetId="5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3">公司債!#REF!</definedName>
    <definedName name="外部資料_428" localSheetId="5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3">公司債!#REF!</definedName>
    <definedName name="外部資料_429" localSheetId="5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9">PSR!#REF!</definedName>
    <definedName name="外部資料_43" localSheetId="3">公司債!#REF!</definedName>
    <definedName name="外部資料_43" localSheetId="5">評比系統!#REF!</definedName>
    <definedName name="外部資料_43" localSheetId="18">福邦!#REF!</definedName>
    <definedName name="外部資料_43" localSheetId="8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3">公司債!#REF!</definedName>
    <definedName name="外部資料_430" localSheetId="5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3">公司債!#REF!</definedName>
    <definedName name="外部資料_431" localSheetId="5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3">公司債!#REF!</definedName>
    <definedName name="外部資料_432" localSheetId="5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3">公司債!#REF!</definedName>
    <definedName name="外部資料_433" localSheetId="5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3">公司債!#REF!</definedName>
    <definedName name="外部資料_434" localSheetId="5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3">公司債!#REF!</definedName>
    <definedName name="外部資料_435" localSheetId="5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3">公司債!#REF!</definedName>
    <definedName name="外部資料_436" localSheetId="5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3">公司債!#REF!</definedName>
    <definedName name="外部資料_437" localSheetId="5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3">公司債!#REF!</definedName>
    <definedName name="外部資料_438" localSheetId="5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3">公司債!#REF!</definedName>
    <definedName name="外部資料_439" localSheetId="5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9">PSR!#REF!</definedName>
    <definedName name="外部資料_44" localSheetId="3">公司債!#REF!</definedName>
    <definedName name="外部資料_44" localSheetId="5">評比系統!#REF!</definedName>
    <definedName name="外部資料_44" localSheetId="18">福邦!#REF!</definedName>
    <definedName name="外部資料_44" localSheetId="8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3">公司債!#REF!</definedName>
    <definedName name="外部資料_440" localSheetId="5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3">公司債!#REF!</definedName>
    <definedName name="外部資料_441" localSheetId="5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3">公司債!#REF!</definedName>
    <definedName name="外部資料_442" localSheetId="5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3">公司債!#REF!</definedName>
    <definedName name="外部資料_443" localSheetId="5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3">公司債!#REF!</definedName>
    <definedName name="外部資料_444" localSheetId="5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3">公司債!#REF!</definedName>
    <definedName name="外部資料_445" localSheetId="5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3">公司債!#REF!</definedName>
    <definedName name="外部資料_446" localSheetId="5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3">公司債!#REF!</definedName>
    <definedName name="外部資料_447" localSheetId="5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3">公司債!#REF!</definedName>
    <definedName name="外部資料_448" localSheetId="5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3">公司債!#REF!</definedName>
    <definedName name="外部資料_449" localSheetId="5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9">PSR!#REF!</definedName>
    <definedName name="外部資料_45" localSheetId="3">公司債!#REF!</definedName>
    <definedName name="外部資料_45" localSheetId="5">評比系統!#REF!</definedName>
    <definedName name="外部資料_45" localSheetId="18">福邦!#REF!</definedName>
    <definedName name="外部資料_45" localSheetId="8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3">公司債!#REF!</definedName>
    <definedName name="外部資料_450" localSheetId="5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3">公司債!#REF!</definedName>
    <definedName name="外部資料_451" localSheetId="5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3">公司債!#REF!</definedName>
    <definedName name="外部資料_452" localSheetId="5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3">公司債!#REF!</definedName>
    <definedName name="外部資料_453" localSheetId="5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3">公司債!#REF!</definedName>
    <definedName name="外部資料_454" localSheetId="5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3">公司債!#REF!</definedName>
    <definedName name="外部資料_455" localSheetId="5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3">公司債!#REF!</definedName>
    <definedName name="外部資料_456" localSheetId="5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3">公司債!#REF!</definedName>
    <definedName name="外部資料_457" localSheetId="5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3">公司債!#REF!</definedName>
    <definedName name="外部資料_458" localSheetId="5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3">公司債!#REF!</definedName>
    <definedName name="外部資料_459" localSheetId="5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9">PSR!#REF!</definedName>
    <definedName name="外部資料_46" localSheetId="3">公司債!#REF!</definedName>
    <definedName name="外部資料_46" localSheetId="5">評比系統!#REF!</definedName>
    <definedName name="外部資料_46" localSheetId="18">福邦!#REF!</definedName>
    <definedName name="外部資料_46" localSheetId="8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3">公司債!#REF!</definedName>
    <definedName name="外部資料_460" localSheetId="5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3">公司債!#REF!</definedName>
    <definedName name="外部資料_461" localSheetId="5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3">公司債!#REF!</definedName>
    <definedName name="外部資料_462" localSheetId="5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3">公司債!#REF!</definedName>
    <definedName name="外部資料_463" localSheetId="5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3">公司債!#REF!</definedName>
    <definedName name="外部資料_464" localSheetId="5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3">公司債!#REF!</definedName>
    <definedName name="外部資料_465" localSheetId="5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3">公司債!#REF!</definedName>
    <definedName name="外部資料_466" localSheetId="5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3">公司債!#REF!</definedName>
    <definedName name="外部資料_467" localSheetId="5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3">公司債!#REF!</definedName>
    <definedName name="外部資料_468" localSheetId="5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3">公司債!#REF!</definedName>
    <definedName name="外部資料_469" localSheetId="5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9">PSR!#REF!</definedName>
    <definedName name="外部資料_47" localSheetId="3">公司債!#REF!</definedName>
    <definedName name="外部資料_47" localSheetId="5">評比系統!#REF!</definedName>
    <definedName name="外部資料_47" localSheetId="18">福邦!#REF!</definedName>
    <definedName name="外部資料_47" localSheetId="8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3">公司債!#REF!</definedName>
    <definedName name="外部資料_470" localSheetId="5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3">公司債!#REF!</definedName>
    <definedName name="外部資料_471" localSheetId="5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3">公司債!#REF!</definedName>
    <definedName name="外部資料_472" localSheetId="5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3">公司債!#REF!</definedName>
    <definedName name="外部資料_473" localSheetId="5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3">公司債!#REF!</definedName>
    <definedName name="外部資料_474" localSheetId="5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3">公司債!#REF!</definedName>
    <definedName name="外部資料_475" localSheetId="5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3">公司債!#REF!</definedName>
    <definedName name="外部資料_476" localSheetId="5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3">公司債!#REF!</definedName>
    <definedName name="外部資料_477" localSheetId="5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3">公司債!#REF!</definedName>
    <definedName name="外部資料_478" localSheetId="5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3">公司債!#REF!</definedName>
    <definedName name="外部資料_479" localSheetId="5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9">PSR!#REF!</definedName>
    <definedName name="外部資料_48" localSheetId="3">公司債!#REF!</definedName>
    <definedName name="外部資料_48" localSheetId="5">評比系統!#REF!</definedName>
    <definedName name="外部資料_48" localSheetId="18">福邦!#REF!</definedName>
    <definedName name="外部資料_48" localSheetId="8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3">公司債!#REF!</definedName>
    <definedName name="外部資料_480" localSheetId="5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3">公司債!#REF!</definedName>
    <definedName name="外部資料_481" localSheetId="5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3">公司債!#REF!</definedName>
    <definedName name="外部資料_482" localSheetId="5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3">公司債!#REF!</definedName>
    <definedName name="外部資料_483" localSheetId="5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3">公司債!#REF!</definedName>
    <definedName name="外部資料_484" localSheetId="5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3">公司債!#REF!</definedName>
    <definedName name="外部資料_485" localSheetId="5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3">公司債!#REF!</definedName>
    <definedName name="外部資料_486" localSheetId="5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3">公司債!#REF!</definedName>
    <definedName name="外部資料_487" localSheetId="5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3">公司債!#REF!</definedName>
    <definedName name="外部資料_488" localSheetId="5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3">公司債!#REF!</definedName>
    <definedName name="外部資料_489" localSheetId="5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9">PSR!#REF!</definedName>
    <definedName name="外部資料_49" localSheetId="3">公司債!#REF!</definedName>
    <definedName name="外部資料_49" localSheetId="5">評比系統!#REF!</definedName>
    <definedName name="外部資料_49" localSheetId="18">福邦!#REF!</definedName>
    <definedName name="外部資料_49" localSheetId="8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3">公司債!#REF!</definedName>
    <definedName name="外部資料_490" localSheetId="5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3">公司債!#REF!</definedName>
    <definedName name="外部資料_491" localSheetId="5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3">公司債!#REF!</definedName>
    <definedName name="外部資料_492" localSheetId="5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3">公司債!#REF!</definedName>
    <definedName name="外部資料_493" localSheetId="5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3">公司債!#REF!</definedName>
    <definedName name="外部資料_494" localSheetId="5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3">公司債!#REF!</definedName>
    <definedName name="外部資料_495" localSheetId="5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3">公司債!#REF!</definedName>
    <definedName name="外部資料_496" localSheetId="5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3">公司債!#REF!</definedName>
    <definedName name="外部資料_497" localSheetId="5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3">公司債!#REF!</definedName>
    <definedName name="外部資料_498" localSheetId="5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3">公司債!#REF!</definedName>
    <definedName name="外部資料_499" localSheetId="5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9">PSR!#REF!</definedName>
    <definedName name="外部資料_5" localSheetId="3">公司債!#REF!</definedName>
    <definedName name="外部資料_5" localSheetId="2">紅綠燈!#REF!</definedName>
    <definedName name="外部資料_5" localSheetId="5">評比系統!#REF!</definedName>
    <definedName name="外部資料_5" localSheetId="18">福邦!#REF!</definedName>
    <definedName name="外部資料_5" localSheetId="6">篩股系統!#REF!</definedName>
    <definedName name="外部資料_5" localSheetId="8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9">PSR!#REF!</definedName>
    <definedName name="外部資料_50" localSheetId="3">公司債!#REF!</definedName>
    <definedName name="外部資料_50" localSheetId="5">評比系統!#REF!</definedName>
    <definedName name="外部資料_50" localSheetId="18">福邦!#REF!</definedName>
    <definedName name="外部資料_50" localSheetId="6">篩股系統!$C$8:$S$65</definedName>
    <definedName name="外部資料_50" localSheetId="8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3">公司債!#REF!</definedName>
    <definedName name="外部資料_500" localSheetId="5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3">公司債!#REF!</definedName>
    <definedName name="外部資料_501" localSheetId="5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3">公司債!#REF!</definedName>
    <definedName name="外部資料_502" localSheetId="5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3">公司債!#REF!</definedName>
    <definedName name="外部資料_503" localSheetId="5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3">公司債!#REF!</definedName>
    <definedName name="外部資料_504" localSheetId="5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3">公司債!#REF!</definedName>
    <definedName name="外部資料_505" localSheetId="5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3">公司債!#REF!</definedName>
    <definedName name="外部資料_506" localSheetId="5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3">公司債!#REF!</definedName>
    <definedName name="外部資料_507" localSheetId="5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3">公司債!#REF!</definedName>
    <definedName name="外部資料_508" localSheetId="5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5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9">PSR!#REF!</definedName>
    <definedName name="外部資料_51" localSheetId="3">公司債!#REF!</definedName>
    <definedName name="外部資料_51" localSheetId="5">評比系統!$T$1:$T$3</definedName>
    <definedName name="外部資料_51" localSheetId="18">福邦!#REF!</definedName>
    <definedName name="外部資料_51" localSheetId="8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3">公司債!#REF!</definedName>
    <definedName name="外部資料_510" localSheetId="5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3">公司債!#REF!</definedName>
    <definedName name="外部資料_511" localSheetId="5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3">公司債!#REF!</definedName>
    <definedName name="外部資料_512" localSheetId="5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3">公司債!#REF!</definedName>
    <definedName name="外部資料_513" localSheetId="5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3">公司債!#REF!</definedName>
    <definedName name="外部資料_514" localSheetId="5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3">公司債!#REF!</definedName>
    <definedName name="外部資料_515" localSheetId="5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3">公司債!#REF!</definedName>
    <definedName name="外部資料_516" localSheetId="5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3">公司債!#REF!</definedName>
    <definedName name="外部資料_517" localSheetId="5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3">公司債!#REF!</definedName>
    <definedName name="外部資料_518" localSheetId="5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3">公司債!#REF!</definedName>
    <definedName name="外部資料_519" localSheetId="5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9">PSR!#REF!</definedName>
    <definedName name="外部資料_52" localSheetId="3">公司債!#REF!</definedName>
    <definedName name="外部資料_52" localSheetId="5">評比系統!$T$1:$T$3</definedName>
    <definedName name="外部資料_52" localSheetId="18">福邦!#REF!</definedName>
    <definedName name="外部資料_52" localSheetId="8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3">公司債!#REF!</definedName>
    <definedName name="外部資料_520" localSheetId="5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3">公司債!#REF!</definedName>
    <definedName name="外部資料_521" localSheetId="5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3">公司債!#REF!</definedName>
    <definedName name="外部資料_522" localSheetId="5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3">公司債!#REF!</definedName>
    <definedName name="外部資料_523" localSheetId="5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3">公司債!#REF!</definedName>
    <definedName name="外部資料_524" localSheetId="5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3">公司債!#REF!</definedName>
    <definedName name="外部資料_525" localSheetId="5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3">公司債!#REF!</definedName>
    <definedName name="外部資料_526" localSheetId="5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3">公司債!#REF!</definedName>
    <definedName name="外部資料_527" localSheetId="5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3">公司債!#REF!</definedName>
    <definedName name="外部資料_528" localSheetId="5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3">公司債!#REF!</definedName>
    <definedName name="外部資料_529" localSheetId="5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9">PSR!#REF!</definedName>
    <definedName name="外部資料_53" localSheetId="3">公司債!#REF!</definedName>
    <definedName name="外部資料_53" localSheetId="5">評比系統!$T$1:$T$3</definedName>
    <definedName name="外部資料_53" localSheetId="18">福邦!#REF!</definedName>
    <definedName name="外部資料_53" localSheetId="8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3">公司債!#REF!</definedName>
    <definedName name="外部資料_530" localSheetId="5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3">公司債!#REF!</definedName>
    <definedName name="外部資料_531" localSheetId="5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3">公司債!#REF!</definedName>
    <definedName name="外部資料_532" localSheetId="5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3">公司債!#REF!</definedName>
    <definedName name="外部資料_533" localSheetId="5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3">公司債!#REF!</definedName>
    <definedName name="外部資料_534" localSheetId="5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3">公司債!#REF!</definedName>
    <definedName name="外部資料_535" localSheetId="5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3">公司債!#REF!</definedName>
    <definedName name="外部資料_536" localSheetId="5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3">公司債!#REF!</definedName>
    <definedName name="外部資料_537" localSheetId="5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3">公司債!#REF!</definedName>
    <definedName name="外部資料_538" localSheetId="5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3">公司債!#REF!</definedName>
    <definedName name="外部資料_539" localSheetId="5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9">PSR!#REF!</definedName>
    <definedName name="外部資料_54" localSheetId="3">公司債!#REF!</definedName>
    <definedName name="外部資料_54" localSheetId="5">評比系統!$T$1:$T$3</definedName>
    <definedName name="外部資料_54" localSheetId="18">福邦!#REF!</definedName>
    <definedName name="外部資料_54" localSheetId="8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3">公司債!#REF!</definedName>
    <definedName name="外部資料_540" localSheetId="5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3">公司債!#REF!</definedName>
    <definedName name="外部資料_541" localSheetId="5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3">公司債!#REF!</definedName>
    <definedName name="外部資料_542" localSheetId="5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3">公司債!#REF!</definedName>
    <definedName name="外部資料_543" localSheetId="5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3">公司債!#REF!</definedName>
    <definedName name="外部資料_544" localSheetId="5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3">公司債!#REF!</definedName>
    <definedName name="外部資料_545" localSheetId="5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3">公司債!#REF!</definedName>
    <definedName name="外部資料_546" localSheetId="5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3">公司債!#REF!</definedName>
    <definedName name="外部資料_547" localSheetId="5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3">公司債!#REF!</definedName>
    <definedName name="外部資料_548" localSheetId="5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3">公司債!#REF!</definedName>
    <definedName name="外部資料_549" localSheetId="5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9">PSR!#REF!</definedName>
    <definedName name="外部資料_55" localSheetId="3">公司債!#REF!</definedName>
    <definedName name="外部資料_55" localSheetId="5">評比系統!$T$1:$T$3</definedName>
    <definedName name="外部資料_55" localSheetId="18">福邦!#REF!</definedName>
    <definedName name="外部資料_55" localSheetId="8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3">公司債!#REF!</definedName>
    <definedName name="外部資料_550" localSheetId="5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3">公司債!#REF!</definedName>
    <definedName name="外部資料_551" localSheetId="5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3">公司債!#REF!</definedName>
    <definedName name="外部資料_552" localSheetId="5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3">公司債!#REF!</definedName>
    <definedName name="外部資料_553" localSheetId="5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3">公司債!#REF!</definedName>
    <definedName name="外部資料_554" localSheetId="5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3">公司債!#REF!</definedName>
    <definedName name="外部資料_555" localSheetId="5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3">公司債!#REF!</definedName>
    <definedName name="外部資料_556" localSheetId="5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3">公司債!#REF!</definedName>
    <definedName name="外部資料_557" localSheetId="5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3">公司債!#REF!</definedName>
    <definedName name="外部資料_558" localSheetId="5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3">公司債!#REF!</definedName>
    <definedName name="外部資料_559" localSheetId="5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9">PSR!#REF!</definedName>
    <definedName name="外部資料_56" localSheetId="3">公司債!#REF!</definedName>
    <definedName name="外部資料_56" localSheetId="5">評比系統!$T$1:$T$3</definedName>
    <definedName name="外部資料_56" localSheetId="18">福邦!#REF!</definedName>
    <definedName name="外部資料_56" localSheetId="8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3">公司債!#REF!</definedName>
    <definedName name="外部資料_560" localSheetId="5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3">公司債!#REF!</definedName>
    <definedName name="外部資料_561" localSheetId="5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3">公司債!#REF!</definedName>
    <definedName name="外部資料_562" localSheetId="5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3">公司債!#REF!</definedName>
    <definedName name="外部資料_563" localSheetId="5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3">公司債!#REF!</definedName>
    <definedName name="外部資料_564" localSheetId="5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3">公司債!#REF!</definedName>
    <definedName name="外部資料_565" localSheetId="5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3">公司債!#REF!</definedName>
    <definedName name="外部資料_566" localSheetId="5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3">公司債!#REF!</definedName>
    <definedName name="外部資料_567" localSheetId="5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3">公司債!#REF!</definedName>
    <definedName name="外部資料_568" localSheetId="5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3">公司債!#REF!</definedName>
    <definedName name="外部資料_569" localSheetId="5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9">PSR!#REF!</definedName>
    <definedName name="外部資料_57" localSheetId="3">公司債!#REF!</definedName>
    <definedName name="外部資料_57" localSheetId="5">評比系統!$T$1:$T$3</definedName>
    <definedName name="外部資料_57" localSheetId="18">福邦!#REF!</definedName>
    <definedName name="外部資料_57" localSheetId="8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3">公司債!#REF!</definedName>
    <definedName name="外部資料_570" localSheetId="5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3">公司債!#REF!</definedName>
    <definedName name="外部資料_571" localSheetId="5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3">公司債!#REF!</definedName>
    <definedName name="外部資料_572" localSheetId="5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3">公司債!#REF!</definedName>
    <definedName name="外部資料_573" localSheetId="5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3">公司債!#REF!</definedName>
    <definedName name="外部資料_574" localSheetId="5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3">公司債!#REF!</definedName>
    <definedName name="外部資料_575" localSheetId="5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3">公司債!#REF!</definedName>
    <definedName name="外部資料_576" localSheetId="5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3">公司債!#REF!</definedName>
    <definedName name="外部資料_577" localSheetId="5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3">公司債!#REF!</definedName>
    <definedName name="外部資料_578" localSheetId="5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3">公司債!#REF!</definedName>
    <definedName name="外部資料_579" localSheetId="5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9">PSR!#REF!</definedName>
    <definedName name="外部資料_58" localSheetId="3">公司債!#REF!</definedName>
    <definedName name="外部資料_58" localSheetId="5">評比系統!$T$1:$T$3</definedName>
    <definedName name="外部資料_58" localSheetId="18">福邦!#REF!</definedName>
    <definedName name="外部資料_58" localSheetId="8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3">公司債!#REF!</definedName>
    <definedName name="外部資料_580" localSheetId="5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3">公司債!#REF!</definedName>
    <definedName name="外部資料_581" localSheetId="5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3">公司債!#REF!</definedName>
    <definedName name="外部資料_582" localSheetId="5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3">公司債!#REF!</definedName>
    <definedName name="外部資料_583" localSheetId="5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3">公司債!#REF!</definedName>
    <definedName name="外部資料_584" localSheetId="5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3">公司債!#REF!</definedName>
    <definedName name="外部資料_585" localSheetId="5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3">公司債!#REF!</definedName>
    <definedName name="外部資料_586" localSheetId="5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3">公司債!#REF!</definedName>
    <definedName name="外部資料_587" localSheetId="5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3">公司債!#REF!</definedName>
    <definedName name="外部資料_588" localSheetId="5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3">公司債!#REF!</definedName>
    <definedName name="外部資料_589" localSheetId="5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9">PSR!#REF!</definedName>
    <definedName name="外部資料_59" localSheetId="3">公司債!#REF!</definedName>
    <definedName name="外部資料_59" localSheetId="5">評比系統!$T$1:$T$3</definedName>
    <definedName name="外部資料_59" localSheetId="18">福邦!#REF!</definedName>
    <definedName name="外部資料_59" localSheetId="8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3">公司債!#REF!</definedName>
    <definedName name="外部資料_590" localSheetId="5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3">公司債!#REF!</definedName>
    <definedName name="外部資料_591" localSheetId="5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3">公司債!#REF!</definedName>
    <definedName name="外部資料_592" localSheetId="5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3">公司債!#REF!</definedName>
    <definedName name="外部資料_593" localSheetId="5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3">公司債!#REF!</definedName>
    <definedName name="外部資料_594" localSheetId="5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3">公司債!#REF!</definedName>
    <definedName name="外部資料_595" localSheetId="5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3">公司債!#REF!</definedName>
    <definedName name="外部資料_596" localSheetId="5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3">公司債!#REF!</definedName>
    <definedName name="外部資料_597" localSheetId="5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PKC!#REF!</definedName>
    <definedName name="外部資料_598" localSheetId="3">公司債!#REF!</definedName>
    <definedName name="外部資料_598" localSheetId="5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PKC!#REF!</definedName>
    <definedName name="外部資料_599" localSheetId="3">公司債!#REF!</definedName>
    <definedName name="外部資料_599" localSheetId="5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9">PSR!#REF!</definedName>
    <definedName name="外部資料_6" localSheetId="2">紅綠燈!#REF!</definedName>
    <definedName name="外部資料_6" localSheetId="5">評比系統!#REF!</definedName>
    <definedName name="外部資料_6" localSheetId="18">福邦!#REF!</definedName>
    <definedName name="外部資料_6" localSheetId="6">篩股系統!#REF!</definedName>
    <definedName name="外部資料_6" localSheetId="8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9">PSR!#REF!</definedName>
    <definedName name="外部資料_60" localSheetId="3">公司債!#REF!</definedName>
    <definedName name="外部資料_60" localSheetId="5">評比系統!$T$1:$T$3</definedName>
    <definedName name="外部資料_60" localSheetId="18">福邦!#REF!</definedName>
    <definedName name="外部資料_60" localSheetId="8">營收搶先報!#REF!</definedName>
    <definedName name="外部資料_600" localSheetId="15">PKA!#REF!</definedName>
    <definedName name="外部資料_600" localSheetId="16">PKB!#REF!</definedName>
    <definedName name="外部資料_600" localSheetId="17">PKC!#REF!</definedName>
    <definedName name="外部資料_600" localSheetId="3">公司債!#REF!</definedName>
    <definedName name="外部資料_600" localSheetId="5">評比系統!$T$1:$T$3</definedName>
    <definedName name="外部資料_601" localSheetId="15">PKA!#REF!</definedName>
    <definedName name="外部資料_601" localSheetId="16">PKB!#REF!</definedName>
    <definedName name="外部資料_601" localSheetId="3">公司債!#REF!</definedName>
    <definedName name="外部資料_601" localSheetId="5">評比系統!$T$1:$T$3</definedName>
    <definedName name="外部資料_602" localSheetId="15">PKA!#REF!</definedName>
    <definedName name="外部資料_602" localSheetId="16">PKB!#REF!</definedName>
    <definedName name="外部資料_602" localSheetId="3">公司債!#REF!</definedName>
    <definedName name="外部資料_602" localSheetId="5">評比系統!$T$1:$T$3</definedName>
    <definedName name="外部資料_603" localSheetId="15">PKA!#REF!</definedName>
    <definedName name="外部資料_603" localSheetId="16">PKB!#REF!</definedName>
    <definedName name="外部資料_603" localSheetId="3">公司債!#REF!</definedName>
    <definedName name="外部資料_603" localSheetId="5">評比系統!$T$1:$T$3</definedName>
    <definedName name="外部資料_604" localSheetId="15">PKA!#REF!</definedName>
    <definedName name="外部資料_604" localSheetId="16">PKB!#REF!</definedName>
    <definedName name="外部資料_604" localSheetId="3">公司債!#REF!</definedName>
    <definedName name="外部資料_604" localSheetId="5">評比系統!$T$1:$T$3</definedName>
    <definedName name="外部資料_605" localSheetId="15">PKA!#REF!</definedName>
    <definedName name="外部資料_605" localSheetId="16">PKB!#REF!</definedName>
    <definedName name="外部資料_605" localSheetId="3">公司債!#REF!</definedName>
    <definedName name="外部資料_605" localSheetId="5">評比系統!$T$1:$T$3</definedName>
    <definedName name="外部資料_606" localSheetId="15">PKA!#REF!</definedName>
    <definedName name="外部資料_606" localSheetId="16">PKB!#REF!</definedName>
    <definedName name="外部資料_606" localSheetId="3">公司債!#REF!</definedName>
    <definedName name="外部資料_606" localSheetId="5">評比系統!$T$1:$T$3</definedName>
    <definedName name="外部資料_607" localSheetId="15">PKA!#REF!</definedName>
    <definedName name="外部資料_607" localSheetId="16">PKB!#REF!</definedName>
    <definedName name="外部資料_607" localSheetId="3">公司債!#REF!</definedName>
    <definedName name="外部資料_607" localSheetId="5">評比系統!$T$1:$T$3</definedName>
    <definedName name="外部資料_608" localSheetId="15">PKA!#REF!</definedName>
    <definedName name="外部資料_608" localSheetId="16">PKB!#REF!</definedName>
    <definedName name="外部資料_608" localSheetId="3">公司債!#REF!</definedName>
    <definedName name="外部資料_608" localSheetId="5">評比系統!$T$1:$T$3</definedName>
    <definedName name="外部資料_609" localSheetId="15">PKA!#REF!</definedName>
    <definedName name="外部資料_609" localSheetId="16">PKB!#REF!</definedName>
    <definedName name="外部資料_609" localSheetId="3">公司債!#REF!</definedName>
    <definedName name="外部資料_609" localSheetId="5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9">PSR!#REF!</definedName>
    <definedName name="外部資料_61" localSheetId="3">公司債!#REF!</definedName>
    <definedName name="外部資料_61" localSheetId="5">評比系統!$T$1:$T$3</definedName>
    <definedName name="外部資料_61" localSheetId="18">福邦!#REF!</definedName>
    <definedName name="外部資料_61" localSheetId="8">營收搶先報!#REF!</definedName>
    <definedName name="外部資料_610" localSheetId="15">PKA!#REF!</definedName>
    <definedName name="外部資料_610" localSheetId="16">PKB!#REF!</definedName>
    <definedName name="外部資料_610" localSheetId="3">公司債!#REF!</definedName>
    <definedName name="外部資料_610" localSheetId="5">評比系統!$T$1:$T$3</definedName>
    <definedName name="外部資料_611" localSheetId="15">PKA!#REF!</definedName>
    <definedName name="外部資料_611" localSheetId="16">PKB!#REF!</definedName>
    <definedName name="外部資料_611" localSheetId="3">公司債!#REF!</definedName>
    <definedName name="外部資料_611" localSheetId="5">評比系統!$T$1:$T$3</definedName>
    <definedName name="外部資料_612" localSheetId="15">PKA!#REF!</definedName>
    <definedName name="外部資料_612" localSheetId="16">PKB!#REF!</definedName>
    <definedName name="外部資料_612" localSheetId="3">公司債!#REF!</definedName>
    <definedName name="外部資料_612" localSheetId="5">評比系統!$T$1:$T$3</definedName>
    <definedName name="外部資料_613" localSheetId="15">PKA!#REF!</definedName>
    <definedName name="外部資料_613" localSheetId="16">PKB!#REF!</definedName>
    <definedName name="外部資料_613" localSheetId="3">公司債!#REF!</definedName>
    <definedName name="外部資料_613" localSheetId="5">評比系統!$T$1:$T$3</definedName>
    <definedName name="外部資料_614" localSheetId="15">PKA!#REF!</definedName>
    <definedName name="外部資料_614" localSheetId="16">PKB!#REF!</definedName>
    <definedName name="外部資料_614" localSheetId="3">公司債!#REF!</definedName>
    <definedName name="外部資料_614" localSheetId="5">評比系統!$T$1:$T$3</definedName>
    <definedName name="外部資料_615" localSheetId="15">PKA!#REF!</definedName>
    <definedName name="外部資料_615" localSheetId="16">PKB!#REF!</definedName>
    <definedName name="外部資料_615" localSheetId="3">公司債!#REF!</definedName>
    <definedName name="外部資料_615" localSheetId="5">評比系統!$T$1:$T$3</definedName>
    <definedName name="外部資料_616" localSheetId="15">PKA!#REF!</definedName>
    <definedName name="外部資料_616" localSheetId="16">PKB!#REF!</definedName>
    <definedName name="外部資料_616" localSheetId="3">公司債!#REF!</definedName>
    <definedName name="外部資料_616" localSheetId="5">評比系統!$T$1:$T$3</definedName>
    <definedName name="外部資料_617" localSheetId="15">PKA!#REF!</definedName>
    <definedName name="外部資料_617" localSheetId="16">PKB!#REF!</definedName>
    <definedName name="外部資料_617" localSheetId="3">公司債!#REF!</definedName>
    <definedName name="外部資料_617" localSheetId="5">評比系統!$T$1:$T$3</definedName>
    <definedName name="外部資料_618" localSheetId="15">PKA!#REF!</definedName>
    <definedName name="外部資料_618" localSheetId="16">PKB!#REF!</definedName>
    <definedName name="外部資料_618" localSheetId="3">公司債!#REF!</definedName>
    <definedName name="外部資料_618" localSheetId="5">評比系統!$T$1:$T$3</definedName>
    <definedName name="外部資料_619" localSheetId="15">PKA!#REF!</definedName>
    <definedName name="外部資料_619" localSheetId="16">PKB!#REF!</definedName>
    <definedName name="外部資料_619" localSheetId="3">公司債!#REF!</definedName>
    <definedName name="外部資料_619" localSheetId="5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9">PSR!#REF!</definedName>
    <definedName name="外部資料_62" localSheetId="3">公司債!#REF!</definedName>
    <definedName name="外部資料_62" localSheetId="5">評比系統!$T$1:$T$3</definedName>
    <definedName name="外部資料_62" localSheetId="18">福邦!#REF!</definedName>
    <definedName name="外部資料_62" localSheetId="8">營收搶先報!#REF!</definedName>
    <definedName name="外部資料_620" localSheetId="15">PKA!#REF!</definedName>
    <definedName name="外部資料_620" localSheetId="16">PKB!#REF!</definedName>
    <definedName name="外部資料_620" localSheetId="3">公司債!#REF!</definedName>
    <definedName name="外部資料_620" localSheetId="5">評比系統!$T$1:$T$3</definedName>
    <definedName name="外部資料_621" localSheetId="15">PKA!#REF!</definedName>
    <definedName name="外部資料_621" localSheetId="16">PKB!#REF!</definedName>
    <definedName name="外部資料_621" localSheetId="3">公司債!#REF!</definedName>
    <definedName name="外部資料_621" localSheetId="5">評比系統!$T$1:$T$3</definedName>
    <definedName name="外部資料_622" localSheetId="15">PKA!#REF!</definedName>
    <definedName name="外部資料_622" localSheetId="16">PKB!#REF!</definedName>
    <definedName name="外部資料_622" localSheetId="3">公司債!#REF!</definedName>
    <definedName name="外部資料_622" localSheetId="5">評比系統!$T$1:$T$3</definedName>
    <definedName name="外部資料_623" localSheetId="15">PKA!#REF!</definedName>
    <definedName name="外部資料_623" localSheetId="16">PKB!#REF!</definedName>
    <definedName name="外部資料_623" localSheetId="3">公司債!#REF!</definedName>
    <definedName name="外部資料_623" localSheetId="5">評比系統!$T$1:$T$3</definedName>
    <definedName name="外部資料_624" localSheetId="15">PKA!#REF!</definedName>
    <definedName name="外部資料_624" localSheetId="16">PKB!#REF!</definedName>
    <definedName name="外部資料_624" localSheetId="3">公司債!#REF!</definedName>
    <definedName name="外部資料_624" localSheetId="5">評比系統!$T$1:$T$3</definedName>
    <definedName name="外部資料_625" localSheetId="15">PKA!#REF!</definedName>
    <definedName name="外部資料_625" localSheetId="16">PKB!#REF!</definedName>
    <definedName name="外部資料_625" localSheetId="3">公司債!#REF!</definedName>
    <definedName name="外部資料_625" localSheetId="5">評比系統!$T$1:$T$3</definedName>
    <definedName name="外部資料_626" localSheetId="15">PKA!#REF!</definedName>
    <definedName name="外部資料_626" localSheetId="16">PKB!#REF!</definedName>
    <definedName name="外部資料_626" localSheetId="3">公司債!#REF!</definedName>
    <definedName name="外部資料_626" localSheetId="5">評比系統!$T$1:$T$3</definedName>
    <definedName name="外部資料_627" localSheetId="15">PKA!#REF!</definedName>
    <definedName name="外部資料_627" localSheetId="16">PKB!#REF!</definedName>
    <definedName name="外部資料_627" localSheetId="3">公司債!#REF!</definedName>
    <definedName name="外部資料_627" localSheetId="5">評比系統!$T$1:$T$3</definedName>
    <definedName name="外部資料_628" localSheetId="15">PKA!#REF!</definedName>
    <definedName name="外部資料_628" localSheetId="16">PKB!#REF!</definedName>
    <definedName name="外部資料_628" localSheetId="3">公司債!#REF!</definedName>
    <definedName name="外部資料_628" localSheetId="5">評比系統!$T$1:$T$3</definedName>
    <definedName name="外部資料_629" localSheetId="15">PKA!#REF!</definedName>
    <definedName name="外部資料_629" localSheetId="16">PKB!#REF!</definedName>
    <definedName name="外部資料_629" localSheetId="3">公司債!#REF!</definedName>
    <definedName name="外部資料_629" localSheetId="5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9">PSR!#REF!</definedName>
    <definedName name="外部資料_63" localSheetId="3">公司債!#REF!</definedName>
    <definedName name="外部資料_63" localSheetId="5">評比系統!$T$1:$T$3</definedName>
    <definedName name="外部資料_63" localSheetId="18">福邦!#REF!</definedName>
    <definedName name="外部資料_63" localSheetId="8">營收搶先報!#REF!</definedName>
    <definedName name="外部資料_630" localSheetId="15">PKA!#REF!</definedName>
    <definedName name="外部資料_630" localSheetId="16">PKB!#REF!</definedName>
    <definedName name="外部資料_630" localSheetId="3">公司債!#REF!</definedName>
    <definedName name="外部資料_630" localSheetId="5">評比系統!$T$1:$T$3</definedName>
    <definedName name="外部資料_631" localSheetId="15">PKA!#REF!</definedName>
    <definedName name="外部資料_631" localSheetId="16">PKB!#REF!</definedName>
    <definedName name="外部資料_631" localSheetId="3">公司債!#REF!</definedName>
    <definedName name="外部資料_631" localSheetId="5">評比系統!$T$1:$T$3</definedName>
    <definedName name="外部資料_632" localSheetId="15">PKA!#REF!</definedName>
    <definedName name="外部資料_632" localSheetId="16">PKB!#REF!</definedName>
    <definedName name="外部資料_632" localSheetId="3">公司債!#REF!</definedName>
    <definedName name="外部資料_632" localSheetId="5">評比系統!$T$1:$T$3</definedName>
    <definedName name="外部資料_633" localSheetId="15">PKA!#REF!</definedName>
    <definedName name="外部資料_633" localSheetId="16">PKB!#REF!</definedName>
    <definedName name="外部資料_633" localSheetId="3">公司債!#REF!</definedName>
    <definedName name="外部資料_633" localSheetId="5">評比系統!$T$1:$T$3</definedName>
    <definedName name="外部資料_634" localSheetId="15">PKA!#REF!</definedName>
    <definedName name="外部資料_634" localSheetId="16">PKB!#REF!</definedName>
    <definedName name="外部資料_634" localSheetId="3">公司債!#REF!</definedName>
    <definedName name="外部資料_634" localSheetId="5">評比系統!$T$1:$T$3</definedName>
    <definedName name="外部資料_635" localSheetId="15">PKA!#REF!</definedName>
    <definedName name="外部資料_635" localSheetId="16">PKB!#REF!</definedName>
    <definedName name="外部資料_635" localSheetId="3">公司債!#REF!</definedName>
    <definedName name="外部資料_635" localSheetId="5">評比系統!$T$1:$T$3</definedName>
    <definedName name="外部資料_636" localSheetId="15">PKA!#REF!</definedName>
    <definedName name="外部資料_636" localSheetId="16">PKB!#REF!</definedName>
    <definedName name="外部資料_636" localSheetId="3">公司債!#REF!</definedName>
    <definedName name="外部資料_636" localSheetId="5">評比系統!$T$1:$T$3</definedName>
    <definedName name="外部資料_637" localSheetId="15">PKA!#REF!</definedName>
    <definedName name="外部資料_637" localSheetId="16">PKB!#REF!</definedName>
    <definedName name="外部資料_637" localSheetId="3">公司債!#REF!</definedName>
    <definedName name="外部資料_637" localSheetId="5">評比系統!$T$1:$T$3</definedName>
    <definedName name="外部資料_638" localSheetId="15">PKA!#REF!</definedName>
    <definedName name="外部資料_638" localSheetId="16">PKB!#REF!</definedName>
    <definedName name="外部資料_638" localSheetId="3">公司債!#REF!</definedName>
    <definedName name="外部資料_638" localSheetId="5">評比系統!$T$1:$T$3</definedName>
    <definedName name="外部資料_639" localSheetId="15">PKA!#REF!</definedName>
    <definedName name="外部資料_639" localSheetId="16">PKB!#REF!</definedName>
    <definedName name="外部資料_639" localSheetId="3">公司債!#REF!</definedName>
    <definedName name="外部資料_639" localSheetId="5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9">PSR!#REF!</definedName>
    <definedName name="外部資料_64" localSheetId="3">公司債!#REF!</definedName>
    <definedName name="外部資料_64" localSheetId="5">評比系統!$T$1:$T$3</definedName>
    <definedName name="外部資料_64" localSheetId="18">福邦!#REF!</definedName>
    <definedName name="外部資料_64" localSheetId="8">營收搶先報!#REF!</definedName>
    <definedName name="外部資料_640" localSheetId="15">PKA!#REF!</definedName>
    <definedName name="外部資料_640" localSheetId="16">PKB!#REF!</definedName>
    <definedName name="外部資料_640" localSheetId="3">公司債!#REF!</definedName>
    <definedName name="外部資料_640" localSheetId="5">評比系統!$T$1:$T$3</definedName>
    <definedName name="外部資料_641" localSheetId="15">PKA!#REF!</definedName>
    <definedName name="外部資料_641" localSheetId="16">PKB!#REF!</definedName>
    <definedName name="外部資料_641" localSheetId="3">公司債!#REF!</definedName>
    <definedName name="外部資料_641" localSheetId="5">評比系統!$T$1:$T$3</definedName>
    <definedName name="外部資料_642" localSheetId="15">PKA!#REF!</definedName>
    <definedName name="外部資料_642" localSheetId="16">PKB!#REF!</definedName>
    <definedName name="外部資料_642" localSheetId="3">公司債!#REF!</definedName>
    <definedName name="外部資料_642" localSheetId="5">評比系統!$T$1:$T$3</definedName>
    <definedName name="外部資料_643" localSheetId="15">PKA!#REF!</definedName>
    <definedName name="外部資料_643" localSheetId="16">PKB!#REF!</definedName>
    <definedName name="外部資料_643" localSheetId="3">公司債!#REF!</definedName>
    <definedName name="外部資料_643" localSheetId="5">評比系統!$T$1:$T$3</definedName>
    <definedName name="外部資料_644" localSheetId="15">PKA!#REF!</definedName>
    <definedName name="外部資料_644" localSheetId="16">PKB!#REF!</definedName>
    <definedName name="外部資料_644" localSheetId="3">公司債!#REF!</definedName>
    <definedName name="外部資料_644" localSheetId="5">評比系統!$T$1:$T$3</definedName>
    <definedName name="外部資料_645" localSheetId="15">PKA!#REF!</definedName>
    <definedName name="外部資料_645" localSheetId="16">PKB!#REF!</definedName>
    <definedName name="外部資料_645" localSheetId="3">公司債!#REF!</definedName>
    <definedName name="外部資料_645" localSheetId="5">評比系統!$T$1:$T$3</definedName>
    <definedName name="外部資料_646" localSheetId="15">PKA!#REF!</definedName>
    <definedName name="外部資料_646" localSheetId="16">PKB!#REF!</definedName>
    <definedName name="外部資料_646" localSheetId="5">評比系統!$T$1:$T$3</definedName>
    <definedName name="外部資料_647" localSheetId="15">PKA!#REF!</definedName>
    <definedName name="外部資料_647" localSheetId="16">PKB!#REF!</definedName>
    <definedName name="外部資料_647" localSheetId="3">公司債!#REF!</definedName>
    <definedName name="外部資料_647" localSheetId="5">評比系統!$T$1:$T$3</definedName>
    <definedName name="外部資料_648" localSheetId="15">PKA!#REF!</definedName>
    <definedName name="外部資料_648" localSheetId="16">PKB!#REF!</definedName>
    <definedName name="外部資料_648" localSheetId="3">公司債!#REF!</definedName>
    <definedName name="外部資料_648" localSheetId="5">評比系統!$T$1:$T$3</definedName>
    <definedName name="外部資料_649" localSheetId="15">PKA!#REF!</definedName>
    <definedName name="外部資料_649" localSheetId="16">PKB!#REF!</definedName>
    <definedName name="外部資料_649" localSheetId="3">公司債!#REF!</definedName>
    <definedName name="外部資料_649" localSheetId="5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9">PSR!#REF!</definedName>
    <definedName name="外部資料_65" localSheetId="3">公司債!#REF!</definedName>
    <definedName name="外部資料_65" localSheetId="5">評比系統!$T$1:$T$3</definedName>
    <definedName name="外部資料_65" localSheetId="18">福邦!#REF!</definedName>
    <definedName name="外部資料_65" localSheetId="8">營收搶先報!#REF!</definedName>
    <definedName name="外部資料_650" localSheetId="15">PKA!#REF!</definedName>
    <definedName name="外部資料_650" localSheetId="16">PKB!#REF!</definedName>
    <definedName name="外部資料_650" localSheetId="3">公司債!#REF!</definedName>
    <definedName name="外部資料_650" localSheetId="5">評比系統!$T$1:$T$3</definedName>
    <definedName name="外部資料_651" localSheetId="15">PKA!#REF!</definedName>
    <definedName name="外部資料_651" localSheetId="16">PKB!#REF!</definedName>
    <definedName name="外部資料_651" localSheetId="3">公司債!#REF!</definedName>
    <definedName name="外部資料_651" localSheetId="5">評比系統!$T$1:$T$3</definedName>
    <definedName name="外部資料_652" localSheetId="15">PKA!#REF!</definedName>
    <definedName name="外部資料_652" localSheetId="16">PKB!#REF!</definedName>
    <definedName name="外部資料_652" localSheetId="3">公司債!#REF!</definedName>
    <definedName name="外部資料_652" localSheetId="5">評比系統!$T$1:$T$3</definedName>
    <definedName name="外部資料_653" localSheetId="15">PKA!#REF!</definedName>
    <definedName name="外部資料_653" localSheetId="16">PKB!#REF!</definedName>
    <definedName name="外部資料_653" localSheetId="3">公司債!#REF!</definedName>
    <definedName name="外部資料_653" localSheetId="5">評比系統!$T$1:$T$3</definedName>
    <definedName name="外部資料_654" localSheetId="15">PKA!#REF!</definedName>
    <definedName name="外部資料_654" localSheetId="16">PKB!#REF!</definedName>
    <definedName name="外部資料_654" localSheetId="3">公司債!#REF!</definedName>
    <definedName name="外部資料_654" localSheetId="5">評比系統!$T$1:$T$3</definedName>
    <definedName name="外部資料_655" localSheetId="15">PKA!#REF!</definedName>
    <definedName name="外部資料_655" localSheetId="16">PKB!#REF!</definedName>
    <definedName name="外部資料_655" localSheetId="3">公司債!#REF!</definedName>
    <definedName name="外部資料_655" localSheetId="5">評比系統!$T$1:$T$3</definedName>
    <definedName name="外部資料_656" localSheetId="15">PKA!#REF!</definedName>
    <definedName name="外部資料_656" localSheetId="16">PKB!#REF!</definedName>
    <definedName name="外部資料_656" localSheetId="3">公司債!#REF!</definedName>
    <definedName name="外部資料_656" localSheetId="5">評比系統!$T$1:$T$3</definedName>
    <definedName name="外部資料_657" localSheetId="15">PKA!#REF!</definedName>
    <definedName name="外部資料_657" localSheetId="16">PKB!#REF!</definedName>
    <definedName name="外部資料_657" localSheetId="3">公司債!#REF!</definedName>
    <definedName name="外部資料_657" localSheetId="5">評比系統!$T$1:$T$3</definedName>
    <definedName name="外部資料_658" localSheetId="15">PKA!#REF!</definedName>
    <definedName name="外部資料_658" localSheetId="16">PKB!#REF!</definedName>
    <definedName name="外部資料_658" localSheetId="3">公司債!#REF!</definedName>
    <definedName name="外部資料_658" localSheetId="5">評比系統!$T$1:$T$3</definedName>
    <definedName name="外部資料_659" localSheetId="15">PKA!#REF!</definedName>
    <definedName name="外部資料_659" localSheetId="16">PKB!#REF!</definedName>
    <definedName name="外部資料_659" localSheetId="3">公司債!#REF!</definedName>
    <definedName name="外部資料_659" localSheetId="5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9">PSR!#REF!</definedName>
    <definedName name="外部資料_66" localSheetId="3">公司債!#REF!</definedName>
    <definedName name="外部資料_66" localSheetId="5">評比系統!$T$1:$T$3</definedName>
    <definedName name="外部資料_66" localSheetId="18">福邦!#REF!</definedName>
    <definedName name="外部資料_66" localSheetId="8">營收搶先報!#REF!</definedName>
    <definedName name="外部資料_660" localSheetId="15">PKA!#REF!</definedName>
    <definedName name="外部資料_660" localSheetId="16">PKB!#REF!</definedName>
    <definedName name="外部資料_660" localSheetId="3">公司債!#REF!</definedName>
    <definedName name="外部資料_660" localSheetId="5">評比系統!$T$1:$T$3</definedName>
    <definedName name="外部資料_661" localSheetId="15">PKA!#REF!</definedName>
    <definedName name="外部資料_661" localSheetId="16">PKB!#REF!</definedName>
    <definedName name="外部資料_661" localSheetId="3">公司債!#REF!</definedName>
    <definedName name="外部資料_661" localSheetId="5">評比系統!$T$1:$T$3</definedName>
    <definedName name="外部資料_662" localSheetId="15">PKA!#REF!</definedName>
    <definedName name="外部資料_662" localSheetId="16">PKB!#REF!</definedName>
    <definedName name="外部資料_662" localSheetId="3">公司債!#REF!</definedName>
    <definedName name="外部資料_662" localSheetId="5">評比系統!$T$1:$T$3</definedName>
    <definedName name="外部資料_663" localSheetId="15">PKA!#REF!</definedName>
    <definedName name="外部資料_663" localSheetId="16">PKB!#REF!</definedName>
    <definedName name="外部資料_663" localSheetId="3">公司債!#REF!</definedName>
    <definedName name="外部資料_663" localSheetId="5">評比系統!$T$1:$T$3</definedName>
    <definedName name="外部資料_664" localSheetId="15">PKA!#REF!</definedName>
    <definedName name="外部資料_664" localSheetId="16">PKB!#REF!</definedName>
    <definedName name="外部資料_664" localSheetId="3">公司債!#REF!</definedName>
    <definedName name="外部資料_664" localSheetId="5">評比系統!$T$1:$T$3</definedName>
    <definedName name="外部資料_665" localSheetId="15">PKA!#REF!</definedName>
    <definedName name="外部資料_665" localSheetId="16">PKB!#REF!</definedName>
    <definedName name="外部資料_665" localSheetId="3">公司債!#REF!</definedName>
    <definedName name="外部資料_665" localSheetId="5">評比系統!$T$1:$T$3</definedName>
    <definedName name="外部資料_666" localSheetId="15">PKA!#REF!</definedName>
    <definedName name="外部資料_666" localSheetId="16">PKB!#REF!</definedName>
    <definedName name="外部資料_666" localSheetId="3">公司債!#REF!</definedName>
    <definedName name="外部資料_666" localSheetId="5">評比系統!$T$1:$T$3</definedName>
    <definedName name="外部資料_667" localSheetId="15">PKA!#REF!</definedName>
    <definedName name="外部資料_667" localSheetId="16">PKB!#REF!</definedName>
    <definedName name="外部資料_667" localSheetId="3">公司債!#REF!</definedName>
    <definedName name="外部資料_667" localSheetId="5">評比系統!$T$1:$T$3</definedName>
    <definedName name="外部資料_668" localSheetId="15">PKA!#REF!</definedName>
    <definedName name="外部資料_668" localSheetId="16">PKB!#REF!</definedName>
    <definedName name="外部資料_668" localSheetId="3">公司債!#REF!</definedName>
    <definedName name="外部資料_668" localSheetId="5">評比系統!$T$1:$T$3</definedName>
    <definedName name="外部資料_669" localSheetId="15">PKA!#REF!</definedName>
    <definedName name="外部資料_669" localSheetId="16">PKB!#REF!</definedName>
    <definedName name="外部資料_669" localSheetId="3">公司債!#REF!</definedName>
    <definedName name="外部資料_669" localSheetId="5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9">PSR!#REF!</definedName>
    <definedName name="外部資料_67" localSheetId="3">公司債!#REF!</definedName>
    <definedName name="外部資料_67" localSheetId="5">評比系統!$T$1:$T$3</definedName>
    <definedName name="外部資料_67" localSheetId="18">福邦!#REF!</definedName>
    <definedName name="外部資料_67" localSheetId="8">營收搶先報!#REF!</definedName>
    <definedName name="外部資料_670" localSheetId="15">PKA!#REF!</definedName>
    <definedName name="外部資料_670" localSheetId="16">PKB!#REF!</definedName>
    <definedName name="外部資料_670" localSheetId="3">公司債!#REF!</definedName>
    <definedName name="外部資料_670" localSheetId="5">評比系統!$T$1:$T$3</definedName>
    <definedName name="外部資料_671" localSheetId="15">PKA!#REF!</definedName>
    <definedName name="外部資料_671" localSheetId="16">PKB!#REF!</definedName>
    <definedName name="外部資料_671" localSheetId="3">公司債!#REF!</definedName>
    <definedName name="外部資料_671" localSheetId="5">評比系統!$T$1:$T$3</definedName>
    <definedName name="外部資料_671" localSheetId="6">篩股系統!$C$2</definedName>
    <definedName name="外部資料_672" localSheetId="15">PKA!#REF!</definedName>
    <definedName name="外部資料_672" localSheetId="16">PKB!#REF!</definedName>
    <definedName name="外部資料_672" localSheetId="3">公司債!#REF!</definedName>
    <definedName name="外部資料_672" localSheetId="5">評比系統!$T$1:$T$3</definedName>
    <definedName name="外部資料_673" localSheetId="15">PKA!#REF!</definedName>
    <definedName name="外部資料_673" localSheetId="16">PKB!#REF!</definedName>
    <definedName name="外部資料_673" localSheetId="3">公司債!#REF!</definedName>
    <definedName name="外部資料_673" localSheetId="5">評比系統!$T$1:$T$3</definedName>
    <definedName name="外部資料_674" localSheetId="15">PKA!#REF!</definedName>
    <definedName name="外部資料_674" localSheetId="16">PKB!#REF!</definedName>
    <definedName name="外部資料_674" localSheetId="3">公司債!#REF!</definedName>
    <definedName name="外部資料_674" localSheetId="5">評比系統!$T$1:$T$3</definedName>
    <definedName name="外部資料_675" localSheetId="15">PKA!#REF!</definedName>
    <definedName name="外部資料_675" localSheetId="16">PKB!#REF!</definedName>
    <definedName name="外部資料_675" localSheetId="3">公司債!#REF!</definedName>
    <definedName name="外部資料_675" localSheetId="5">評比系統!$T$1:$T$3</definedName>
    <definedName name="外部資料_676" localSheetId="15">PKA!#REF!</definedName>
    <definedName name="外部資料_676" localSheetId="16">PKB!#REF!</definedName>
    <definedName name="外部資料_676" localSheetId="5">評比系統!$T$1:$T$3</definedName>
    <definedName name="外部資料_677" localSheetId="15">PKA!#REF!</definedName>
    <definedName name="外部資料_677" localSheetId="16">PKB!#REF!</definedName>
    <definedName name="外部資料_677" localSheetId="5">評比系統!$T$1:$T$3</definedName>
    <definedName name="外部資料_678" localSheetId="15">PKA!#REF!</definedName>
    <definedName name="外部資料_678" localSheetId="16">PKB!#REF!</definedName>
    <definedName name="外部資料_678" localSheetId="5">評比系統!$T$1:$T$3</definedName>
    <definedName name="外部資料_679" localSheetId="15">PKA!#REF!</definedName>
    <definedName name="外部資料_679" localSheetId="16">PKB!#REF!</definedName>
    <definedName name="外部資料_679" localSheetId="5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9">PSR!#REF!</definedName>
    <definedName name="外部資料_68" localSheetId="3">公司債!#REF!</definedName>
    <definedName name="外部資料_68" localSheetId="5">評比系統!$T$1:$T$3</definedName>
    <definedName name="外部資料_68" localSheetId="18">福邦!#REF!</definedName>
    <definedName name="外部資料_68" localSheetId="8">營收搶先報!#REF!</definedName>
    <definedName name="外部資料_680" localSheetId="15">PKA!#REF!</definedName>
    <definedName name="外部資料_680" localSheetId="16">PKB!#REF!</definedName>
    <definedName name="外部資料_680" localSheetId="5">評比系統!$T$1:$T$3</definedName>
    <definedName name="外部資料_681" localSheetId="15">PKA!#REF!</definedName>
    <definedName name="外部資料_681" localSheetId="16">PKB!#REF!</definedName>
    <definedName name="外部資料_681" localSheetId="5">評比系統!$T$1:$T$3</definedName>
    <definedName name="外部資料_682" localSheetId="15">PKA!#REF!</definedName>
    <definedName name="外部資料_682" localSheetId="16">PKB!#REF!</definedName>
    <definedName name="外部資料_682" localSheetId="5">評比系統!$T$1:$T$3</definedName>
    <definedName name="外部資料_683" localSheetId="15">PKA!#REF!</definedName>
    <definedName name="外部資料_683" localSheetId="16">PKB!#REF!</definedName>
    <definedName name="外部資料_683" localSheetId="5">評比系統!$T$1:$T$3</definedName>
    <definedName name="外部資料_684" localSheetId="15">PKA!#REF!</definedName>
    <definedName name="外部資料_684" localSheetId="16">PKB!#REF!</definedName>
    <definedName name="外部資料_684" localSheetId="5">評比系統!$T$1:$T$3</definedName>
    <definedName name="外部資料_685" localSheetId="15">PKA!#REF!</definedName>
    <definedName name="外部資料_685" localSheetId="16">PKB!#REF!</definedName>
    <definedName name="外部資料_685" localSheetId="5">評比系統!$T$1:$T$3</definedName>
    <definedName name="外部資料_686" localSheetId="15">PKA!#REF!</definedName>
    <definedName name="外部資料_686" localSheetId="16">PKB!#REF!</definedName>
    <definedName name="外部資料_686" localSheetId="5">評比系統!$T$1:$T$3</definedName>
    <definedName name="外部資料_687" localSheetId="15">PKA!#REF!</definedName>
    <definedName name="外部資料_687" localSheetId="16">PKB!#REF!</definedName>
    <definedName name="外部資料_687" localSheetId="5">評比系統!$T$1:$T$3</definedName>
    <definedName name="外部資料_688" localSheetId="15">PKA!#REF!</definedName>
    <definedName name="外部資料_688" localSheetId="16">PKB!#REF!</definedName>
    <definedName name="外部資料_688" localSheetId="5">評比系統!$T$1:$T$3</definedName>
    <definedName name="外部資料_689" localSheetId="15">PKA!#REF!</definedName>
    <definedName name="外部資料_689" localSheetId="16">PKB!#REF!</definedName>
    <definedName name="外部資料_689" localSheetId="5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9">PSR!#REF!</definedName>
    <definedName name="外部資料_69" localSheetId="3">公司債!#REF!</definedName>
    <definedName name="外部資料_69" localSheetId="5">評比系統!$T$1:$T$3</definedName>
    <definedName name="外部資料_69" localSheetId="18">福邦!#REF!</definedName>
    <definedName name="外部資料_69" localSheetId="8">營收搶先報!#REF!</definedName>
    <definedName name="外部資料_690" localSheetId="15">PKA!#REF!</definedName>
    <definedName name="外部資料_690" localSheetId="16">PKB!#REF!</definedName>
    <definedName name="外部資料_690" localSheetId="5">評比系統!$T$1:$T$3</definedName>
    <definedName name="外部資料_691" localSheetId="15">PKA!#REF!</definedName>
    <definedName name="外部資料_691" localSheetId="16">PKB!#REF!</definedName>
    <definedName name="外部資料_691" localSheetId="5">評比系統!$T$1:$T$3</definedName>
    <definedName name="外部資料_692" localSheetId="15">PKA!#REF!</definedName>
    <definedName name="外部資料_692" localSheetId="16">PKB!#REF!</definedName>
    <definedName name="外部資料_692" localSheetId="5">評比系統!$T$1:$T$3</definedName>
    <definedName name="外部資料_693" localSheetId="15">PKA!#REF!</definedName>
    <definedName name="外部資料_693" localSheetId="16">PKB!#REF!</definedName>
    <definedName name="外部資料_693" localSheetId="5">評比系統!$T$1:$T$3</definedName>
    <definedName name="外部資料_694" localSheetId="15">PKA!#REF!</definedName>
    <definedName name="外部資料_694" localSheetId="16">PKB!#REF!</definedName>
    <definedName name="外部資料_694" localSheetId="5">評比系統!$T$1:$T$3</definedName>
    <definedName name="外部資料_695" localSheetId="15">PKA!#REF!</definedName>
    <definedName name="外部資料_695" localSheetId="16">PKB!#REF!</definedName>
    <definedName name="外部資料_695" localSheetId="5">評比系統!$T$1:$T$3</definedName>
    <definedName name="外部資料_696" localSheetId="15">PKA!#REF!</definedName>
    <definedName name="外部資料_696" localSheetId="16">PKB!#REF!</definedName>
    <definedName name="外部資料_696" localSheetId="5">評比系統!$T$1:$T$3</definedName>
    <definedName name="外部資料_697" localSheetId="15">PKA!#REF!</definedName>
    <definedName name="外部資料_697" localSheetId="16">PKB!#REF!</definedName>
    <definedName name="外部資料_697" localSheetId="5">評比系統!$T$1:$T$3</definedName>
    <definedName name="外部資料_698" localSheetId="15">PKA!#REF!</definedName>
    <definedName name="外部資料_698" localSheetId="16">PKB!#REF!</definedName>
    <definedName name="外部資料_698" localSheetId="5">評比系統!$T$1:$T$3</definedName>
    <definedName name="外部資料_699" localSheetId="15">PKA!#REF!</definedName>
    <definedName name="外部資料_699" localSheetId="16">PKB!#REF!</definedName>
    <definedName name="外部資料_699" localSheetId="5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9">PSR!#REF!</definedName>
    <definedName name="外部資料_7" localSheetId="3">公司債!#REF!</definedName>
    <definedName name="外部資料_7" localSheetId="2">紅綠燈!#REF!</definedName>
    <definedName name="外部資料_7" localSheetId="5">評比系統!#REF!</definedName>
    <definedName name="外部資料_7" localSheetId="18">福邦!#REF!</definedName>
    <definedName name="外部資料_7" localSheetId="6">篩股系統!#REF!</definedName>
    <definedName name="外部資料_7" localSheetId="8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9">PSR!#REF!</definedName>
    <definedName name="外部資料_70" localSheetId="3">公司債!#REF!</definedName>
    <definedName name="外部資料_70" localSheetId="5">評比系統!$T$1:$T$3</definedName>
    <definedName name="外部資料_70" localSheetId="18">福邦!#REF!</definedName>
    <definedName name="外部資料_70" localSheetId="8">營收搶先報!#REF!</definedName>
    <definedName name="外部資料_700" localSheetId="15">PKA!#REF!</definedName>
    <definedName name="外部資料_700" localSheetId="16">PKB!#REF!</definedName>
    <definedName name="外部資料_700" localSheetId="5">評比系統!$T$1:$T$3</definedName>
    <definedName name="外部資料_701" localSheetId="15">PKA!#REF!</definedName>
    <definedName name="外部資料_701" localSheetId="16">PKB!#REF!</definedName>
    <definedName name="外部資料_701" localSheetId="5">評比系統!$T$1:$T$3</definedName>
    <definedName name="外部資料_702" localSheetId="15">PKA!#REF!</definedName>
    <definedName name="外部資料_702" localSheetId="16">PKB!#REF!</definedName>
    <definedName name="外部資料_702" localSheetId="5">評比系統!$T$1:$T$3</definedName>
    <definedName name="外部資料_703" localSheetId="15">PKA!#REF!</definedName>
    <definedName name="外部資料_703" localSheetId="16">PKB!#REF!</definedName>
    <definedName name="外部資料_703" localSheetId="5">評比系統!$T$1:$T$3</definedName>
    <definedName name="外部資料_704" localSheetId="15">PKA!#REF!</definedName>
    <definedName name="外部資料_704" localSheetId="16">PKB!#REF!</definedName>
    <definedName name="外部資料_704" localSheetId="5">評比系統!$T$1:$T$3</definedName>
    <definedName name="外部資料_705" localSheetId="15">PKA!#REF!</definedName>
    <definedName name="外部資料_705" localSheetId="16">PKB!#REF!</definedName>
    <definedName name="外部資料_705" localSheetId="5">評比系統!$T$1:$T$3</definedName>
    <definedName name="外部資料_706" localSheetId="15">PKA!#REF!</definedName>
    <definedName name="外部資料_706" localSheetId="16">PKB!#REF!</definedName>
    <definedName name="外部資料_706" localSheetId="5">評比系統!$T$1:$T$3</definedName>
    <definedName name="外部資料_707" localSheetId="15">PKA!#REF!</definedName>
    <definedName name="外部資料_707" localSheetId="16">PKB!#REF!</definedName>
    <definedName name="外部資料_707" localSheetId="5">評比系統!$T$1:$T$3</definedName>
    <definedName name="外部資料_708" localSheetId="15">PKA!#REF!</definedName>
    <definedName name="外部資料_708" localSheetId="16">PKB!#REF!</definedName>
    <definedName name="外部資料_708" localSheetId="5">評比系統!$T$1:$T$3</definedName>
    <definedName name="外部資料_709" localSheetId="15">PKA!#REF!</definedName>
    <definedName name="外部資料_709" localSheetId="16">PKB!#REF!</definedName>
    <definedName name="外部資料_709" localSheetId="5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9">PSR!#REF!</definedName>
    <definedName name="外部資料_71" localSheetId="3">公司債!#REF!</definedName>
    <definedName name="外部資料_71" localSheetId="5">評比系統!$T$1:$T$3</definedName>
    <definedName name="外部資料_71" localSheetId="18">福邦!#REF!</definedName>
    <definedName name="外部資料_71" localSheetId="8">營收搶先報!#REF!</definedName>
    <definedName name="外部資料_710" localSheetId="15">PKA!#REF!</definedName>
    <definedName name="外部資料_710" localSheetId="16">PKB!#REF!</definedName>
    <definedName name="外部資料_710" localSheetId="5">評比系統!$T$1:$T$3</definedName>
    <definedName name="外部資料_711" localSheetId="15">PKA!#REF!</definedName>
    <definedName name="外部資料_711" localSheetId="16">PKB!#REF!</definedName>
    <definedName name="外部資料_711" localSheetId="5">評比系統!$T$1:$T$3</definedName>
    <definedName name="外部資料_712" localSheetId="15">PKA!#REF!</definedName>
    <definedName name="外部資料_712" localSheetId="16">PKB!#REF!</definedName>
    <definedName name="外部資料_712" localSheetId="5">評比系統!$T$1:$T$3</definedName>
    <definedName name="外部資料_713" localSheetId="15">PKA!#REF!</definedName>
    <definedName name="外部資料_713" localSheetId="16">PKB!#REF!</definedName>
    <definedName name="外部資料_713" localSheetId="5">評比系統!$T$1:$T$3</definedName>
    <definedName name="外部資料_714" localSheetId="15">PKA!#REF!</definedName>
    <definedName name="外部資料_714" localSheetId="16">PKB!#REF!</definedName>
    <definedName name="外部資料_714" localSheetId="5">評比系統!$T$1:$T$3</definedName>
    <definedName name="外部資料_715" localSheetId="15">PKA!#REF!</definedName>
    <definedName name="外部資料_715" localSheetId="16">PKB!#REF!</definedName>
    <definedName name="外部資料_715" localSheetId="5">評比系統!$T$1:$T$3</definedName>
    <definedName name="外部資料_716" localSheetId="15">PKA!#REF!</definedName>
    <definedName name="外部資料_716" localSheetId="16">PKB!#REF!</definedName>
    <definedName name="外部資料_716" localSheetId="5">評比系統!$T$1:$T$3</definedName>
    <definedName name="外部資料_717" localSheetId="15">PKA!#REF!</definedName>
    <definedName name="外部資料_717" localSheetId="16">PKB!#REF!</definedName>
    <definedName name="外部資料_717" localSheetId="5">評比系統!$T$1:$T$3</definedName>
    <definedName name="外部資料_718" localSheetId="15">PKA!#REF!</definedName>
    <definedName name="外部資料_718" localSheetId="16">PKB!#REF!</definedName>
    <definedName name="外部資料_718" localSheetId="5">評比系統!$T$1:$T$3</definedName>
    <definedName name="外部資料_719" localSheetId="15">PKA!#REF!</definedName>
    <definedName name="外部資料_719" localSheetId="16">PKB!#REF!</definedName>
    <definedName name="外部資料_719" localSheetId="5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9">PSR!#REF!</definedName>
    <definedName name="外部資料_72" localSheetId="5">評比系統!$T$1:$T$3</definedName>
    <definedName name="外部資料_72" localSheetId="18">福邦!#REF!</definedName>
    <definedName name="外部資料_72" localSheetId="8">營收搶先報!#REF!</definedName>
    <definedName name="外部資料_720" localSheetId="15">PKA!#REF!</definedName>
    <definedName name="外部資料_720" localSheetId="16">PKB!#REF!</definedName>
    <definedName name="外部資料_720" localSheetId="5">評比系統!$T$1:$T$3</definedName>
    <definedName name="外部資料_721" localSheetId="15">PKA!#REF!</definedName>
    <definedName name="外部資料_721" localSheetId="16">PKB!#REF!</definedName>
    <definedName name="外部資料_721" localSheetId="5">評比系統!$T$1:$T$3</definedName>
    <definedName name="外部資料_722" localSheetId="15">PKA!#REF!</definedName>
    <definedName name="外部資料_722" localSheetId="16">PKB!#REF!</definedName>
    <definedName name="外部資料_722" localSheetId="5">評比系統!$T$1:$T$3</definedName>
    <definedName name="外部資料_723" localSheetId="15">PKA!#REF!</definedName>
    <definedName name="外部資料_723" localSheetId="16">PKB!#REF!</definedName>
    <definedName name="外部資料_723" localSheetId="5">評比系統!$T$1:$T$3</definedName>
    <definedName name="外部資料_724" localSheetId="15">PKA!#REF!</definedName>
    <definedName name="外部資料_724" localSheetId="16">PKB!#REF!</definedName>
    <definedName name="外部資料_724" localSheetId="5">評比系統!$T$1:$T$3</definedName>
    <definedName name="外部資料_725" localSheetId="15">PKA!#REF!</definedName>
    <definedName name="外部資料_725" localSheetId="16">PKB!#REF!</definedName>
    <definedName name="外部資料_725" localSheetId="5">評比系統!$T$1:$T$3</definedName>
    <definedName name="外部資料_726" localSheetId="15">PKA!#REF!</definedName>
    <definedName name="外部資料_726" localSheetId="16">PKB!#REF!</definedName>
    <definedName name="外部資料_726" localSheetId="5">評比系統!$T$1:$T$3</definedName>
    <definedName name="外部資料_727" localSheetId="15">PKA!#REF!</definedName>
    <definedName name="外部資料_727" localSheetId="16">PKB!#REF!</definedName>
    <definedName name="外部資料_727" localSheetId="5">評比系統!$T$1:$T$3</definedName>
    <definedName name="外部資料_728" localSheetId="15">PKA!#REF!</definedName>
    <definedName name="外部資料_728" localSheetId="16">PKB!#REF!</definedName>
    <definedName name="外部資料_728" localSheetId="5">評比系統!$T$1:$T$3</definedName>
    <definedName name="外部資料_729" localSheetId="15">PKA!#REF!</definedName>
    <definedName name="外部資料_729" localSheetId="16">PKB!#REF!</definedName>
    <definedName name="外部資料_729" localSheetId="5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9">PSR!#REF!</definedName>
    <definedName name="外部資料_73" localSheetId="3">公司債!#REF!</definedName>
    <definedName name="外部資料_73" localSheetId="5">評比系統!$T$1:$T$3</definedName>
    <definedName name="外部資料_73" localSheetId="18">福邦!#REF!</definedName>
    <definedName name="外部資料_73" localSheetId="8">營收搶先報!#REF!</definedName>
    <definedName name="外部資料_730" localSheetId="15">PKA!#REF!</definedName>
    <definedName name="外部資料_730" localSheetId="16">PKB!#REF!</definedName>
    <definedName name="外部資料_730" localSheetId="5">評比系統!$T$1:$T$3</definedName>
    <definedName name="外部資料_731" localSheetId="15">PKA!#REF!</definedName>
    <definedName name="外部資料_731" localSheetId="16">PKB!#REF!</definedName>
    <definedName name="外部資料_731" localSheetId="5">評比系統!$T$1:$T$3</definedName>
    <definedName name="外部資料_732" localSheetId="15">PKA!#REF!</definedName>
    <definedName name="外部資料_732" localSheetId="16">PKB!#REF!</definedName>
    <definedName name="外部資料_732" localSheetId="5">評比系統!$T$1:$T$3</definedName>
    <definedName name="外部資料_733" localSheetId="15">PKA!#REF!</definedName>
    <definedName name="外部資料_733" localSheetId="16">PKB!#REF!</definedName>
    <definedName name="外部資料_733" localSheetId="5">評比系統!$T$1:$T$3</definedName>
    <definedName name="外部資料_734" localSheetId="15">PKA!#REF!</definedName>
    <definedName name="外部資料_734" localSheetId="16">PKB!#REF!</definedName>
    <definedName name="外部資料_734" localSheetId="5">評比系統!$T$1:$T$3</definedName>
    <definedName name="外部資料_735" localSheetId="15">PKA!#REF!</definedName>
    <definedName name="外部資料_735" localSheetId="16">PKB!#REF!</definedName>
    <definedName name="外部資料_735" localSheetId="5">評比系統!$T$1:$T$3</definedName>
    <definedName name="外部資料_736" localSheetId="15">PKA!#REF!</definedName>
    <definedName name="外部資料_736" localSheetId="16">PKB!#REF!</definedName>
    <definedName name="外部資料_736" localSheetId="5">評比系統!$T$1:$T$3</definedName>
    <definedName name="外部資料_737" localSheetId="15">PKA!#REF!</definedName>
    <definedName name="外部資料_737" localSheetId="16">PKB!#REF!</definedName>
    <definedName name="外部資料_737" localSheetId="5">評比系統!$T$1:$T$3</definedName>
    <definedName name="外部資料_738" localSheetId="15">PKA!#REF!</definedName>
    <definedName name="外部資料_738" localSheetId="16">PKB!#REF!</definedName>
    <definedName name="外部資料_738" localSheetId="5">評比系統!$T$1:$T$3</definedName>
    <definedName name="外部資料_739" localSheetId="15">PKA!#REF!</definedName>
    <definedName name="外部資料_739" localSheetId="16">PKB!#REF!</definedName>
    <definedName name="外部資料_739" localSheetId="5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9">PSR!#REF!</definedName>
    <definedName name="外部資料_74" localSheetId="3">公司債!#REF!</definedName>
    <definedName name="外部資料_74" localSheetId="5">評比系統!$T$1:$T$3</definedName>
    <definedName name="外部資料_74" localSheetId="18">福邦!#REF!</definedName>
    <definedName name="外部資料_74" localSheetId="8">營收搶先報!#REF!</definedName>
    <definedName name="外部資料_740" localSheetId="15">PKA!#REF!</definedName>
    <definedName name="外部資料_740" localSheetId="16">PKB!#REF!</definedName>
    <definedName name="外部資料_740" localSheetId="5">評比系統!$T$1:$T$3</definedName>
    <definedName name="外部資料_741" localSheetId="15">PKA!#REF!</definedName>
    <definedName name="外部資料_741" localSheetId="16">PKB!#REF!</definedName>
    <definedName name="外部資料_741" localSheetId="5">評比系統!$T$1:$T$3</definedName>
    <definedName name="外部資料_742" localSheetId="15">PKA!#REF!</definedName>
    <definedName name="外部資料_742" localSheetId="16">PKB!#REF!</definedName>
    <definedName name="外部資料_742" localSheetId="5">評比系統!$T$1:$T$3</definedName>
    <definedName name="外部資料_743" localSheetId="15">PKA!#REF!</definedName>
    <definedName name="外部資料_743" localSheetId="16">PKB!#REF!</definedName>
    <definedName name="外部資料_743" localSheetId="5">評比系統!$T$1:$T$3</definedName>
    <definedName name="外部資料_744" localSheetId="15">PKA!#REF!</definedName>
    <definedName name="外部資料_744" localSheetId="16">PKB!#REF!</definedName>
    <definedName name="外部資料_744" localSheetId="5">評比系統!$T$1:$T$3</definedName>
    <definedName name="外部資料_745" localSheetId="15">PKA!#REF!</definedName>
    <definedName name="外部資料_745" localSheetId="16">PKB!#REF!</definedName>
    <definedName name="外部資料_745" localSheetId="5">評比系統!$T$1:$T$3</definedName>
    <definedName name="外部資料_746" localSheetId="15">PKA!#REF!</definedName>
    <definedName name="外部資料_746" localSheetId="16">PKB!#REF!</definedName>
    <definedName name="外部資料_746" localSheetId="5">評比系統!$T$1:$T$3</definedName>
    <definedName name="外部資料_747" localSheetId="15">PKA!#REF!</definedName>
    <definedName name="外部資料_747" localSheetId="16">PKB!#REF!</definedName>
    <definedName name="外部資料_747" localSheetId="5">評比系統!$T$1:$T$3</definedName>
    <definedName name="外部資料_748" localSheetId="15">PKA!#REF!</definedName>
    <definedName name="外部資料_748" localSheetId="16">PKB!#REF!</definedName>
    <definedName name="外部資料_748" localSheetId="5">評比系統!$T$1:$T$3</definedName>
    <definedName name="外部資料_749" localSheetId="15">PKA!#REF!</definedName>
    <definedName name="外部資料_749" localSheetId="16">PKB!#REF!</definedName>
    <definedName name="外部資料_749" localSheetId="5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9">PSR!#REF!</definedName>
    <definedName name="外部資料_75" localSheetId="3">公司債!#REF!</definedName>
    <definedName name="外部資料_75" localSheetId="5">評比系統!$T$1:$T$3</definedName>
    <definedName name="外部資料_75" localSheetId="18">福邦!#REF!</definedName>
    <definedName name="外部資料_75" localSheetId="8">營收搶先報!#REF!</definedName>
    <definedName name="外部資料_750" localSheetId="15">PKA!#REF!</definedName>
    <definedName name="外部資料_750" localSheetId="16">PKB!#REF!</definedName>
    <definedName name="外部資料_750" localSheetId="5">評比系統!$T$1:$T$3</definedName>
    <definedName name="外部資料_751" localSheetId="15">PKA!#REF!</definedName>
    <definedName name="外部資料_751" localSheetId="16">PKB!#REF!</definedName>
    <definedName name="外部資料_751" localSheetId="5">評比系統!$T$1:$T$3</definedName>
    <definedName name="外部資料_752" localSheetId="15">PKA!#REF!</definedName>
    <definedName name="外部資料_752" localSheetId="16">PKB!#REF!</definedName>
    <definedName name="外部資料_752" localSheetId="5">評比系統!$T$1:$T$3</definedName>
    <definedName name="外部資料_753" localSheetId="15">PKA!#REF!</definedName>
    <definedName name="外部資料_753" localSheetId="16">PKB!#REF!</definedName>
    <definedName name="外部資料_753" localSheetId="5">評比系統!$T$1:$T$3</definedName>
    <definedName name="外部資料_754" localSheetId="16">PKB!#REF!</definedName>
    <definedName name="外部資料_754" localSheetId="5">評比系統!$T$1:$T$3</definedName>
    <definedName name="外部資料_755" localSheetId="16">PKB!#REF!</definedName>
    <definedName name="外部資料_755" localSheetId="5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16">PKB!#REF!</definedName>
    <definedName name="外部資料_756" localSheetId="5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16">PKB!#REF!</definedName>
    <definedName name="外部資料_757" localSheetId="5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5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5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9">PSR!#REF!</definedName>
    <definedName name="外部資料_76" localSheetId="3">公司債!#REF!</definedName>
    <definedName name="外部資料_76" localSheetId="5">評比系統!$T$1:$T$3</definedName>
    <definedName name="外部資料_76" localSheetId="18">福邦!#REF!</definedName>
    <definedName name="外部資料_76" localSheetId="6">篩股系統!#REF!</definedName>
    <definedName name="外部資料_76" localSheetId="8">營收搶先報!#REF!</definedName>
    <definedName name="外部資料_760" localSheetId="5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5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5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5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5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5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5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5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5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5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9">PSR!#REF!</definedName>
    <definedName name="外部資料_77" localSheetId="3">公司債!#REF!</definedName>
    <definedName name="外部資料_77" localSheetId="5">評比系統!$T$1:$T$3</definedName>
    <definedName name="外部資料_77" localSheetId="18">福邦!#REF!</definedName>
    <definedName name="外部資料_77" localSheetId="8">營收搶先報!#REF!</definedName>
    <definedName name="外部資料_770" localSheetId="5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5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5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5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5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5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5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5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5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5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9">PSR!#REF!</definedName>
    <definedName name="外部資料_78" localSheetId="3">公司債!#REF!</definedName>
    <definedName name="外部資料_78" localSheetId="5">評比系統!$T$1:$T$3</definedName>
    <definedName name="外部資料_78" localSheetId="18">福邦!#REF!</definedName>
    <definedName name="外部資料_78" localSheetId="8">營收搶先報!#REF!</definedName>
    <definedName name="外部資料_780" localSheetId="5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5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5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5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5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5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5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5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5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5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9">PSR!#REF!</definedName>
    <definedName name="外部資料_79" localSheetId="3">公司債!#REF!</definedName>
    <definedName name="外部資料_79" localSheetId="5">評比系統!$T$1:$T$3</definedName>
    <definedName name="外部資料_79" localSheetId="18">福邦!#REF!</definedName>
    <definedName name="外部資料_79" localSheetId="8">營收搶先報!#REF!</definedName>
    <definedName name="外部資料_790" localSheetId="5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5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5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5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5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5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5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5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5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5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9">PSR!#REF!</definedName>
    <definedName name="外部資料_8" localSheetId="3">公司債!#REF!</definedName>
    <definedName name="外部資料_8" localSheetId="2">紅綠燈!#REF!</definedName>
    <definedName name="外部資料_8" localSheetId="5">評比系統!#REF!</definedName>
    <definedName name="外部資料_8" localSheetId="18">福邦!#REF!</definedName>
    <definedName name="外部資料_8" localSheetId="6">篩股系統!#REF!</definedName>
    <definedName name="外部資料_8" localSheetId="8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9">PSR!#REF!</definedName>
    <definedName name="外部資料_80" localSheetId="3">公司債!#REF!</definedName>
    <definedName name="外部資料_80" localSheetId="5">評比系統!$T$1:$T$3</definedName>
    <definedName name="外部資料_80" localSheetId="18">福邦!#REF!</definedName>
    <definedName name="外部資料_80" localSheetId="8">營收搶先報!#REF!</definedName>
    <definedName name="外部資料_800" localSheetId="5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5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5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5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5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5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5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5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5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5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9">PSR!#REF!</definedName>
    <definedName name="外部資料_81" localSheetId="3">公司債!#REF!</definedName>
    <definedName name="外部資料_81" localSheetId="5">評比系統!$T$1:$T$3</definedName>
    <definedName name="外部資料_81" localSheetId="18">福邦!#REF!</definedName>
    <definedName name="外部資料_81" localSheetId="8">營收搶先報!#REF!</definedName>
    <definedName name="外部資料_810" localSheetId="5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5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5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5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5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5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5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5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5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5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9">PSR!#REF!</definedName>
    <definedName name="外部資料_82" localSheetId="3">公司債!#REF!</definedName>
    <definedName name="外部資料_82" localSheetId="5">評比系統!$T$1:$T$3</definedName>
    <definedName name="外部資料_82" localSheetId="18">福邦!#REF!</definedName>
    <definedName name="外部資料_82" localSheetId="8">營收搶先報!#REF!</definedName>
    <definedName name="外部資料_820" localSheetId="5">評比系統!$T$1:$T$3</definedName>
    <definedName name="外部資料_821" localSheetId="5">評比系統!$T$1:$T$3</definedName>
    <definedName name="外部資料_822" localSheetId="5">評比系統!$T$1:$T$3</definedName>
    <definedName name="外部資料_823" localSheetId="5">評比系統!$T$1:$T$3</definedName>
    <definedName name="外部資料_824" localSheetId="5">評比系統!$T$1:$T$3</definedName>
    <definedName name="外部資料_825" localSheetId="5">評比系統!$T$1:$T$3</definedName>
    <definedName name="外部資料_826" localSheetId="5">評比系統!$T$1:$T$3</definedName>
    <definedName name="外部資料_827" localSheetId="5">評比系統!$T$1:$T$3</definedName>
    <definedName name="外部資料_828" localSheetId="5">評比系統!$T$1:$T$3</definedName>
    <definedName name="外部資料_829" localSheetId="5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9">PSR!#REF!</definedName>
    <definedName name="外部資料_83" localSheetId="3">公司債!#REF!</definedName>
    <definedName name="外部資料_83" localSheetId="5">評比系統!$T$1:$T$3</definedName>
    <definedName name="外部資料_83" localSheetId="18">福邦!#REF!</definedName>
    <definedName name="外部資料_83" localSheetId="6">篩股系統!#REF!</definedName>
    <definedName name="外部資料_83" localSheetId="8">營收搶先報!#REF!</definedName>
    <definedName name="外部資料_830" localSheetId="5">評比系統!$T$1:$T$3</definedName>
    <definedName name="外部資料_831" localSheetId="5">評比系統!$T$1:$T$3</definedName>
    <definedName name="外部資料_832" localSheetId="5">評比系統!$T$1:$T$3</definedName>
    <definedName name="外部資料_833" localSheetId="5">評比系統!$T$1:$T$3</definedName>
    <definedName name="外部資料_834" localSheetId="5">評比系統!$T$1:$T$3</definedName>
    <definedName name="外部資料_835" localSheetId="5">評比系統!$T$1:$T$3</definedName>
    <definedName name="外部資料_836" localSheetId="5">評比系統!$T$1:$T$3</definedName>
    <definedName name="外部資料_837" localSheetId="5">評比系統!$T$1:$T$3</definedName>
    <definedName name="外部資料_838" localSheetId="5">評比系統!$T$1:$T$3</definedName>
    <definedName name="外部資料_839" localSheetId="5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9">PSR!#REF!</definedName>
    <definedName name="外部資料_84" localSheetId="3">公司債!#REF!</definedName>
    <definedName name="外部資料_84" localSheetId="5">評比系統!$T$1:$T$3</definedName>
    <definedName name="外部資料_84" localSheetId="18">福邦!#REF!</definedName>
    <definedName name="外部資料_84" localSheetId="8">營收搶先報!#REF!</definedName>
    <definedName name="外部資料_840" localSheetId="5">評比系統!$T$1:$T$3</definedName>
    <definedName name="外部資料_841" localSheetId="5">評比系統!$T$1:$T$3</definedName>
    <definedName name="外部資料_842" localSheetId="5">評比系統!$T$1:$T$3</definedName>
    <definedName name="外部資料_843" localSheetId="5">評比系統!$T$1:$T$3</definedName>
    <definedName name="外部資料_844" localSheetId="5">評比系統!$T$1:$T$3</definedName>
    <definedName name="外部資料_845" localSheetId="5">評比系統!$T$1:$T$3</definedName>
    <definedName name="外部資料_846" localSheetId="5">評比系統!$T$1:$T$3</definedName>
    <definedName name="外部資料_847" localSheetId="5">評比系統!$T$1:$T$3</definedName>
    <definedName name="外部資料_848" localSheetId="5">評比系統!$T$1:$T$3</definedName>
    <definedName name="外部資料_849" localSheetId="5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9">PSR!#REF!</definedName>
    <definedName name="外部資料_85" localSheetId="3">公司債!#REF!</definedName>
    <definedName name="外部資料_85" localSheetId="5">評比系統!$T$1:$T$3</definedName>
    <definedName name="外部資料_85" localSheetId="18">福邦!#REF!</definedName>
    <definedName name="外部資料_85" localSheetId="8">營收搶先報!#REF!</definedName>
    <definedName name="外部資料_850" localSheetId="5">評比系統!$T$1:$T$3</definedName>
    <definedName name="外部資料_851" localSheetId="5">評比系統!$T$1:$T$3</definedName>
    <definedName name="外部資料_852" localSheetId="5">評比系統!$T$1:$T$3</definedName>
    <definedName name="外部資料_853" localSheetId="5">評比系統!$T$1:$T$3</definedName>
    <definedName name="外部資料_854" localSheetId="5">評比系統!$T$1:$T$3</definedName>
    <definedName name="外部資料_855" localSheetId="5">評比系統!$T$1:$T$3</definedName>
    <definedName name="外部資料_856" localSheetId="5">評比系統!$T$1:$T$3</definedName>
    <definedName name="外部資料_857" localSheetId="5">評比系統!$T$1:$T$3</definedName>
    <definedName name="外部資料_858" localSheetId="5">評比系統!$T$1:$T$3</definedName>
    <definedName name="外部資料_859" localSheetId="5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9">PSR!#REF!</definedName>
    <definedName name="外部資料_86" localSheetId="3">公司債!#REF!</definedName>
    <definedName name="外部資料_86" localSheetId="5">評比系統!$T$1:$T$3</definedName>
    <definedName name="外部資料_86" localSheetId="18">福邦!#REF!</definedName>
    <definedName name="外部資料_86" localSheetId="8">營收搶先報!#REF!</definedName>
    <definedName name="外部資料_860" localSheetId="5">評比系統!$T$1:$T$3</definedName>
    <definedName name="外部資料_861" localSheetId="5">評比系統!$T$1:$T$3</definedName>
    <definedName name="外部資料_862" localSheetId="5">評比系統!$T$1:$T$3</definedName>
    <definedName name="外部資料_863" localSheetId="5">評比系統!$T$1:$T$3</definedName>
    <definedName name="外部資料_864" localSheetId="5">評比系統!$T$1:$T$3</definedName>
    <definedName name="外部資料_865" localSheetId="5">評比系統!$T$1:$T$3</definedName>
    <definedName name="外部資料_866" localSheetId="5">評比系統!$T$1:$T$3</definedName>
    <definedName name="外部資料_867" localSheetId="5">評比系統!$T$1:$T$3</definedName>
    <definedName name="外部資料_868" localSheetId="5">評比系統!$T$1:$T$3</definedName>
    <definedName name="外部資料_869" localSheetId="5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9">PSR!#REF!</definedName>
    <definedName name="外部資料_87" localSheetId="3">公司債!#REF!</definedName>
    <definedName name="外部資料_87" localSheetId="5">評比系統!$T$1:$T$3</definedName>
    <definedName name="外部資料_87" localSheetId="18">福邦!#REF!</definedName>
    <definedName name="外部資料_87" localSheetId="8">營收搶先報!#REF!</definedName>
    <definedName name="外部資料_870" localSheetId="5">評比系統!$T$1:$T$3</definedName>
    <definedName name="外部資料_871" localSheetId="5">評比系統!$T$1:$T$3</definedName>
    <definedName name="外部資料_872" localSheetId="5">評比系統!$T$1:$T$3</definedName>
    <definedName name="外部資料_873" localSheetId="5">評比系統!$T$1:$T$3</definedName>
    <definedName name="外部資料_874" localSheetId="5">評比系統!$T$1:$T$3</definedName>
    <definedName name="外部資料_875" localSheetId="5">評比系統!$T$1:$T$3</definedName>
    <definedName name="外部資料_876" localSheetId="5">評比系統!$T$1:$T$3</definedName>
    <definedName name="外部資料_877" localSheetId="5">評比系統!$T$1:$T$3</definedName>
    <definedName name="外部資料_878" localSheetId="5">評比系統!$T$1:$T$3</definedName>
    <definedName name="外部資料_879" localSheetId="5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9">PSR!#REF!</definedName>
    <definedName name="外部資料_88" localSheetId="3">公司債!#REF!</definedName>
    <definedName name="外部資料_88" localSheetId="5">評比系統!$T$1:$T$3</definedName>
    <definedName name="外部資料_88" localSheetId="18">福邦!#REF!</definedName>
    <definedName name="外部資料_88" localSheetId="8">營收搶先報!#REF!</definedName>
    <definedName name="外部資料_880" localSheetId="5">評比系統!$T$1:$T$3</definedName>
    <definedName name="外部資料_881" localSheetId="5">評比系統!$T$1:$T$3</definedName>
    <definedName name="外部資料_882" localSheetId="2">紅綠燈!#REF!</definedName>
    <definedName name="外部資料_882" localSheetId="5">評比系統!$T$1:$AF$33</definedName>
    <definedName name="外部資料_883" localSheetId="5">評比系統!$T$1:$T$3</definedName>
    <definedName name="外部資料_884" localSheetId="5">評比系統!$T$1:$T$3</definedName>
    <definedName name="外部資料_885" localSheetId="5">評比系統!$T$1:$T$3</definedName>
    <definedName name="外部資料_886" localSheetId="5">評比系統!$T$1:$T$3</definedName>
    <definedName name="外部資料_887" localSheetId="5">評比系統!$T$1:$T$3</definedName>
    <definedName name="外部資料_888" localSheetId="5">評比系統!$T$1:$T$3</definedName>
    <definedName name="外部資料_889" localSheetId="5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9">PSR!#REF!</definedName>
    <definedName name="外部資料_89" localSheetId="3">公司債!#REF!</definedName>
    <definedName name="外部資料_89" localSheetId="5">評比系統!$T$1:$T$3</definedName>
    <definedName name="外部資料_89" localSheetId="18">福邦!#REF!</definedName>
    <definedName name="外部資料_89" localSheetId="8">營收搶先報!#REF!</definedName>
    <definedName name="外部資料_890" localSheetId="5">評比系統!$T$1:$T$3</definedName>
    <definedName name="外部資料_891" localSheetId="5">評比系統!$T$1:$T$3</definedName>
    <definedName name="外部資料_892" localSheetId="5">評比系統!$T$1:$T$3</definedName>
    <definedName name="外部資料_893" localSheetId="5">評比系統!$T$1:$T$3</definedName>
    <definedName name="外部資料_894" localSheetId="5">評比系統!$T$1:$T$3</definedName>
    <definedName name="外部資料_895" localSheetId="5">評比系統!$T$1:$T$3</definedName>
    <definedName name="外部資料_896" localSheetId="5">評比系統!$T$1:$T$3</definedName>
    <definedName name="外部資料_897" localSheetId="5">評比系統!$T$1:$T$3</definedName>
    <definedName name="外部資料_898" localSheetId="5">評比系統!$T$1:$T$3</definedName>
    <definedName name="外部資料_899" localSheetId="5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9">PSR!#REF!</definedName>
    <definedName name="外部資料_9" localSheetId="3">公司債!#REF!</definedName>
    <definedName name="外部資料_9" localSheetId="2">紅綠燈!#REF!</definedName>
    <definedName name="外部資料_9" localSheetId="5">評比系統!#REF!</definedName>
    <definedName name="外部資料_9" localSheetId="18">福邦!#REF!</definedName>
    <definedName name="外部資料_9" localSheetId="6">篩股系統!#REF!</definedName>
    <definedName name="外部資料_9" localSheetId="8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9">PSR!#REF!</definedName>
    <definedName name="外部資料_90" localSheetId="3">公司債!#REF!</definedName>
    <definedName name="外部資料_90" localSheetId="5">評比系統!$T$1:$T$3</definedName>
    <definedName name="外部資料_90" localSheetId="18">福邦!#REF!</definedName>
    <definedName name="外部資料_90" localSheetId="8">營收搶先報!#REF!</definedName>
    <definedName name="外部資料_900" localSheetId="5">評比系統!$T$1:$T$3</definedName>
    <definedName name="外部資料_901" localSheetId="5">評比系統!$T$1:$T$3</definedName>
    <definedName name="外部資料_902" localSheetId="5">評比系統!$T$1:$T$3</definedName>
    <definedName name="外部資料_903" localSheetId="5">評比系統!$T$1:$T$3</definedName>
    <definedName name="外部資料_904" localSheetId="5">評比系統!$T$1:$T$3</definedName>
    <definedName name="外部資料_905" localSheetId="5">評比系統!$T$1:$T$3</definedName>
    <definedName name="外部資料_906" localSheetId="5">評比系統!$T$1:$T$3</definedName>
    <definedName name="外部資料_907" localSheetId="5">評比系統!$T$1:$T$3</definedName>
    <definedName name="外部資料_908" localSheetId="5">評比系統!$T$1:$T$3</definedName>
    <definedName name="外部資料_909" localSheetId="5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9">PSR!#REF!</definedName>
    <definedName name="外部資料_91" localSheetId="3">公司債!#REF!</definedName>
    <definedName name="外部資料_91" localSheetId="5">評比系統!$T$1:$T$3</definedName>
    <definedName name="外部資料_91" localSheetId="18">福邦!#REF!</definedName>
    <definedName name="外部資料_91" localSheetId="8">營收搶先報!#REF!</definedName>
    <definedName name="外部資料_910" localSheetId="5">評比系統!$T$1:$T$3</definedName>
    <definedName name="外部資料_911" localSheetId="5">評比系統!$T$1:$T$3</definedName>
    <definedName name="外部資料_912" localSheetId="5">評比系統!$T$1:$T$3</definedName>
    <definedName name="外部資料_913" localSheetId="5">評比系統!$T$1:$T$3</definedName>
    <definedName name="外部資料_914" localSheetId="5">評比系統!$T$1:$T$3</definedName>
    <definedName name="外部資料_915" localSheetId="5">評比系統!$T$1:$T$3</definedName>
    <definedName name="外部資料_916" localSheetId="5">評比系統!$T$1:$T$3</definedName>
    <definedName name="外部資料_917" localSheetId="5">評比系統!$T$1:$T$3</definedName>
    <definedName name="外部資料_918" localSheetId="5">評比系統!$T$1:$T$3</definedName>
    <definedName name="外部資料_919" localSheetId="5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9">PSR!#REF!</definedName>
    <definedName name="外部資料_92" localSheetId="3">公司債!#REF!</definedName>
    <definedName name="外部資料_92" localSheetId="5">評比系統!$T$1:$T$3</definedName>
    <definedName name="外部資料_92" localSheetId="18">福邦!#REF!</definedName>
    <definedName name="外部資料_92" localSheetId="8">營收搶先報!#REF!</definedName>
    <definedName name="外部資料_920" localSheetId="5">評比系統!$T$1:$T$3</definedName>
    <definedName name="外部資料_921" localSheetId="5">評比系統!$T$1:$T$3</definedName>
    <definedName name="外部資料_922" localSheetId="5">評比系統!$T$1:$T$3</definedName>
    <definedName name="外部資料_923" localSheetId="5">評比系統!$T$1:$T$3</definedName>
    <definedName name="外部資料_924" localSheetId="5">評比系統!$T$1:$T$3</definedName>
    <definedName name="外部資料_925" localSheetId="5">評比系統!$T$1:$T$3</definedName>
    <definedName name="外部資料_926" localSheetId="5">評比系統!$T$1:$T$3</definedName>
    <definedName name="外部資料_927" localSheetId="5">評比系統!$T$1:$T$3</definedName>
    <definedName name="外部資料_928" localSheetId="5">評比系統!$T$1:$T$3</definedName>
    <definedName name="外部資料_929" localSheetId="5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9">PSR!#REF!</definedName>
    <definedName name="外部資料_93" localSheetId="3">公司債!#REF!</definedName>
    <definedName name="外部資料_93" localSheetId="5">評比系統!$T$1:$T$3</definedName>
    <definedName name="外部資料_93" localSheetId="18">福邦!#REF!</definedName>
    <definedName name="外部資料_93" localSheetId="8">營收搶先報!#REF!</definedName>
    <definedName name="外部資料_930" localSheetId="5">評比系統!$T$1:$T$3</definedName>
    <definedName name="外部資料_931" localSheetId="5">評比系統!$T$1:$T$3</definedName>
    <definedName name="外部資料_932" localSheetId="5">評比系統!$T$1:$T$3</definedName>
    <definedName name="外部資料_933" localSheetId="5">評比系統!$T$1:$T$3</definedName>
    <definedName name="外部資料_934" localSheetId="5">評比系統!$T$1:$T$3</definedName>
    <definedName name="外部資料_935" localSheetId="5">評比系統!$T$1:$T$3</definedName>
    <definedName name="外部資料_936" localSheetId="5">評比系統!$T$1:$T$3</definedName>
    <definedName name="外部資料_937" localSheetId="5">評比系統!$T$1:$T$3</definedName>
    <definedName name="外部資料_938" localSheetId="2">紅綠燈!#REF!</definedName>
    <definedName name="外部資料_938" localSheetId="5">評比系統!$T$1:$AF$33</definedName>
    <definedName name="外部資料_939" localSheetId="5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9">PSR!#REF!</definedName>
    <definedName name="外部資料_94" localSheetId="3">公司債!#REF!</definedName>
    <definedName name="外部資料_94" localSheetId="5">評比系統!$T$1:$T$3</definedName>
    <definedName name="外部資料_94" localSheetId="18">福邦!#REF!</definedName>
    <definedName name="外部資料_94" localSheetId="8">營收搶先報!#REF!</definedName>
    <definedName name="外部資料_940" localSheetId="5">評比系統!$T$1:$T$3</definedName>
    <definedName name="外部資料_941" localSheetId="5">評比系統!$T$1:$T$3</definedName>
    <definedName name="外部資料_942" localSheetId="5">評比系統!$T$1:$T$3</definedName>
    <definedName name="外部資料_943" localSheetId="5">評比系統!$T$1:$T$3</definedName>
    <definedName name="外部資料_944" localSheetId="5">評比系統!$T$1:$T$3</definedName>
    <definedName name="外部資料_945" localSheetId="5">評比系統!$T$1:$T$3</definedName>
    <definedName name="外部資料_946" localSheetId="5">評比系統!$T$1:$T$3</definedName>
    <definedName name="外部資料_947" localSheetId="5">評比系統!$T$1:$T$3</definedName>
    <definedName name="外部資料_948" localSheetId="5">評比系統!$T$1:$T$3</definedName>
    <definedName name="外部資料_949" localSheetId="5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9">PSR!#REF!</definedName>
    <definedName name="外部資料_95" localSheetId="3">公司債!#REF!</definedName>
    <definedName name="外部資料_95" localSheetId="5">評比系統!$T$1:$T$3</definedName>
    <definedName name="外部資料_95" localSheetId="18">福邦!#REF!</definedName>
    <definedName name="外部資料_95" localSheetId="8">營收搶先報!#REF!</definedName>
    <definedName name="外部資料_950" localSheetId="5">評比系統!$T$1:$T$3</definedName>
    <definedName name="外部資料_951" localSheetId="5">評比系統!$T$1:$T$3</definedName>
    <definedName name="外部資料_952" localSheetId="5">評比系統!$T$1:$T$3</definedName>
    <definedName name="外部資料_953" localSheetId="5">評比系統!$T$1:$T$3</definedName>
    <definedName name="外部資料_954" localSheetId="5">評比系統!$T$1:$T$3</definedName>
    <definedName name="外部資料_955" localSheetId="5">評比系統!$T$1:$T$3</definedName>
    <definedName name="外部資料_956" localSheetId="5">評比系統!$T$1:$T$3</definedName>
    <definedName name="外部資料_957" localSheetId="5">評比系統!$T$1:$T$3</definedName>
    <definedName name="外部資料_958" localSheetId="5">評比系統!$T$1:$T$3</definedName>
    <definedName name="外部資料_959" localSheetId="5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9">PSR!#REF!</definedName>
    <definedName name="外部資料_96" localSheetId="3">公司債!#REF!</definedName>
    <definedName name="外部資料_96" localSheetId="5">評比系統!$T$1:$T$3</definedName>
    <definedName name="外部資料_96" localSheetId="18">福邦!#REF!</definedName>
    <definedName name="外部資料_96" localSheetId="8">營收搶先報!#REF!</definedName>
    <definedName name="外部資料_960" localSheetId="5">評比系統!$T$1:$T$3</definedName>
    <definedName name="外部資料_961" localSheetId="5">評比系統!$T$1:$T$3</definedName>
    <definedName name="外部資料_962" localSheetId="5">評比系統!$T$1:$T$3</definedName>
    <definedName name="外部資料_963" localSheetId="5">評比系統!$T$1:$T$3</definedName>
    <definedName name="外部資料_964" localSheetId="5">評比系統!$T$1:$T$3</definedName>
    <definedName name="外部資料_965" localSheetId="5">評比系統!$T$1:$T$3</definedName>
    <definedName name="外部資料_966" localSheetId="5">評比系統!$T$1:$T$3</definedName>
    <definedName name="外部資料_967" localSheetId="5">評比系統!$T$1:$T$3</definedName>
    <definedName name="外部資料_968" localSheetId="2">紅綠燈!#REF!</definedName>
    <definedName name="外部資料_968" localSheetId="5">評比系統!$T$1:$AF$33</definedName>
    <definedName name="外部資料_969" localSheetId="5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9">PSR!#REF!</definedName>
    <definedName name="外部資料_97" localSheetId="3">公司債!#REF!</definedName>
    <definedName name="外部資料_97" localSheetId="5">評比系統!$T$1:$T$3</definedName>
    <definedName name="外部資料_97" localSheetId="18">福邦!#REF!</definedName>
    <definedName name="外部資料_97" localSheetId="8">營收搶先報!#REF!</definedName>
    <definedName name="外部資料_970" localSheetId="5">評比系統!$T$1:$T$3</definedName>
    <definedName name="外部資料_971" localSheetId="5">評比系統!$T$1:$T$3</definedName>
    <definedName name="外部資料_972" localSheetId="5">評比系統!$T$1:$T$3</definedName>
    <definedName name="外部資料_973" localSheetId="5">評比系統!$T$1:$T$3</definedName>
    <definedName name="外部資料_974" localSheetId="5">評比系統!$T$1:$T$3</definedName>
    <definedName name="外部資料_975" localSheetId="5">評比系統!$T$1:$T$3</definedName>
    <definedName name="外部資料_976" localSheetId="5">評比系統!$T$1:$T$3</definedName>
    <definedName name="外部資料_977" localSheetId="5">評比系統!$T$1:$T$3</definedName>
    <definedName name="外部資料_978" localSheetId="5">評比系統!$T$1:$T$3</definedName>
    <definedName name="外部資料_979" localSheetId="5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9">PSR!#REF!</definedName>
    <definedName name="外部資料_98" localSheetId="3">公司債!#REF!</definedName>
    <definedName name="外部資料_98" localSheetId="5">評比系統!$T$1:$T$3</definedName>
    <definedName name="外部資料_98" localSheetId="18">福邦!#REF!</definedName>
    <definedName name="外部資料_98" localSheetId="8">營收搶先報!#REF!</definedName>
    <definedName name="外部資料_980" localSheetId="5">評比系統!$T$1:$T$3</definedName>
    <definedName name="外部資料_981" localSheetId="5">評比系統!$T$1:$T$3</definedName>
    <definedName name="外部資料_982" localSheetId="5">評比系統!$T$1:$T$3</definedName>
    <definedName name="外部資料_983" localSheetId="5">評比系統!$T$1:$T$3</definedName>
    <definedName name="外部資料_984" localSheetId="5">評比系統!$T$1:$T$3</definedName>
    <definedName name="外部資料_985" localSheetId="5">評比系統!$T$1:$T$3</definedName>
    <definedName name="外部資料_986" localSheetId="5">評比系統!$T$1:$T$3</definedName>
    <definedName name="外部資料_987" localSheetId="5">評比系統!$T$1:$T$3</definedName>
    <definedName name="外部資料_988" localSheetId="5">評比系統!$T$1:$T$3</definedName>
    <definedName name="外部資料_989" localSheetId="5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9">PSR!#REF!</definedName>
    <definedName name="外部資料_99" localSheetId="3">公司債!#REF!</definedName>
    <definedName name="外部資料_99" localSheetId="5">評比系統!$T$1:$T$3</definedName>
    <definedName name="外部資料_99" localSheetId="18">福邦!#REF!</definedName>
    <definedName name="外部資料_99" localSheetId="8">營收搶先報!#REF!</definedName>
    <definedName name="外部資料_990" localSheetId="5">評比系統!$T$1:$T$3</definedName>
    <definedName name="外部資料_991" localSheetId="5">評比系統!$T$1:$T$3</definedName>
    <definedName name="外部資料_992" localSheetId="5">評比系統!$T$1:$T$3</definedName>
    <definedName name="外部資料_993" localSheetId="5">評比系統!$T$1:$T$3</definedName>
    <definedName name="外部資料_994" localSheetId="5">評比系統!$T$1:$T$3</definedName>
    <definedName name="外部資料_995" localSheetId="2">紅綠燈!#REF!</definedName>
    <definedName name="外部資料_995" localSheetId="5">評比系統!$T$1:$AF$33</definedName>
    <definedName name="外部資料_996" localSheetId="2">紅綠燈!#REF!</definedName>
    <definedName name="外部資料_996" localSheetId="5">評比系統!$T$1:$AF$33</definedName>
    <definedName name="外部資料_997" localSheetId="2">紅綠燈!#REF!</definedName>
    <definedName name="外部資料_997" localSheetId="5">評比系統!$T$1:$AF$33</definedName>
    <definedName name="外部資料_998" localSheetId="5">評比系統!$T$1:$AF$33</definedName>
    <definedName name="外部資料_999" localSheetId="2">紅綠燈!#REF!</definedName>
    <definedName name="外部資料_999" localSheetId="5">評比系統!$T$1:$AF$33</definedName>
    <definedName name="持股分佈" localSheetId="5">評比系統!$T$3</definedName>
    <definedName name="持股分佈_1" localSheetId="5">評比系統!#REF!</definedName>
    <definedName name="持股分佈_10" localSheetId="5">評比系統!#REF!</definedName>
    <definedName name="持股分佈_11" localSheetId="5">評比系統!$T$3</definedName>
    <definedName name="持股分佈_12" localSheetId="5">評比系統!#REF!</definedName>
    <definedName name="持股分佈_13" localSheetId="5">評比系統!#REF!</definedName>
    <definedName name="持股分佈_14" localSheetId="5">評比系統!$T$3</definedName>
    <definedName name="持股分佈_15" localSheetId="5">評比系統!#REF!</definedName>
    <definedName name="持股分佈_16" localSheetId="5">評比系統!#REF!</definedName>
    <definedName name="持股分佈_17" localSheetId="5">評比系統!$T$3</definedName>
    <definedName name="持股分佈_18" localSheetId="5">評比系統!#REF!</definedName>
    <definedName name="持股分佈_19" localSheetId="5">評比系統!#REF!</definedName>
    <definedName name="持股分佈_2" localSheetId="5">評比系統!#REF!</definedName>
    <definedName name="持股分佈_20" localSheetId="5">評比系統!$T$3</definedName>
    <definedName name="持股分佈_21" localSheetId="5">評比系統!#REF!</definedName>
    <definedName name="持股分佈_22" localSheetId="5">評比系統!#REF!</definedName>
    <definedName name="持股分佈_23" localSheetId="5">評比系統!$T$3</definedName>
    <definedName name="持股分佈_24" localSheetId="5">評比系統!#REF!</definedName>
    <definedName name="持股分佈_25" localSheetId="5">評比系統!#REF!</definedName>
    <definedName name="持股分佈_26" localSheetId="5">評比系統!$T$3</definedName>
    <definedName name="持股分佈_27" localSheetId="5">評比系統!#REF!</definedName>
    <definedName name="持股分佈_28" localSheetId="5">評比系統!#REF!</definedName>
    <definedName name="持股分佈_29" localSheetId="5">評比系統!$T$3</definedName>
    <definedName name="持股分佈_3" localSheetId="5">評比系統!#REF!</definedName>
    <definedName name="持股分佈_30" localSheetId="5">評比系統!#REF!</definedName>
    <definedName name="持股分佈_31" localSheetId="5">評比系統!#REF!</definedName>
    <definedName name="持股分佈_32" localSheetId="5">評比系統!$T$3</definedName>
    <definedName name="持股分佈_33" localSheetId="5">評比系統!#REF!</definedName>
    <definedName name="持股分佈_34" localSheetId="5">評比系統!#REF!</definedName>
    <definedName name="持股分佈_35" localSheetId="5">評比系統!$T$3</definedName>
    <definedName name="持股分佈_36" localSheetId="5">評比系統!#REF!</definedName>
    <definedName name="持股分佈_37" localSheetId="5">評比系統!#REF!</definedName>
    <definedName name="持股分佈_38" localSheetId="5">評比系統!$T$3</definedName>
    <definedName name="持股分佈_38" localSheetId="6">篩股系統!$H$2</definedName>
    <definedName name="持股分佈_39" localSheetId="5">評比系統!#REF!</definedName>
    <definedName name="持股分佈_4" localSheetId="5">評比系統!#REF!</definedName>
    <definedName name="持股分佈_40" localSheetId="5">評比系統!#REF!</definedName>
    <definedName name="持股分佈_41" localSheetId="5">評比系統!$T$3</definedName>
    <definedName name="持股分佈_42" localSheetId="5">評比系統!#REF!</definedName>
    <definedName name="持股分佈_43" localSheetId="5">評比系統!#REF!</definedName>
    <definedName name="持股分佈_44" localSheetId="5">評比系統!$T$3</definedName>
    <definedName name="持股分佈_45" localSheetId="5">評比系統!#REF!</definedName>
    <definedName name="持股分佈_46" localSheetId="5">評比系統!#REF!</definedName>
    <definedName name="持股分佈_47" localSheetId="5">評比系統!$T$3</definedName>
    <definedName name="持股分佈_48" localSheetId="5">評比系統!#REF!</definedName>
    <definedName name="持股分佈_49" localSheetId="5">評比系統!#REF!</definedName>
    <definedName name="持股分佈_5" localSheetId="5">評比系統!$T$3</definedName>
    <definedName name="持股分佈_50" localSheetId="5">評比系統!$T$3</definedName>
    <definedName name="持股分佈_51" localSheetId="5">評比系統!#REF!</definedName>
    <definedName name="持股分佈_52" localSheetId="5">評比系統!#REF!</definedName>
    <definedName name="持股分佈_53" localSheetId="5">評比系統!$T$3</definedName>
    <definedName name="持股分佈_54" localSheetId="5">評比系統!#REF!</definedName>
    <definedName name="持股分佈_55" localSheetId="5">評比系統!#REF!</definedName>
    <definedName name="持股分佈_56" localSheetId="5">評比系統!$T$3</definedName>
    <definedName name="持股分佈_57" localSheetId="5">評比系統!#REF!</definedName>
    <definedName name="持股分佈_58" localSheetId="5">評比系統!#REF!</definedName>
    <definedName name="持股分佈_59" localSheetId="5">評比系統!$T$3</definedName>
    <definedName name="持股分佈_6" localSheetId="5">評比系統!#REF!</definedName>
    <definedName name="持股分佈_60" localSheetId="5">評比系統!#REF!</definedName>
    <definedName name="持股分佈_61" localSheetId="5">評比系統!#REF!</definedName>
    <definedName name="持股分佈_62" localSheetId="5">評比系統!$T$3</definedName>
    <definedName name="持股分佈_63" localSheetId="5">評比系統!#REF!</definedName>
    <definedName name="持股分佈_64" localSheetId="5">評比系統!#REF!</definedName>
    <definedName name="持股分佈_65" localSheetId="5">評比系統!$T$3</definedName>
    <definedName name="持股分佈_66" localSheetId="5">評比系統!#REF!</definedName>
    <definedName name="持股分佈_67" localSheetId="5">評比系統!#REF!</definedName>
    <definedName name="持股分佈_68" localSheetId="5">評比系統!$T$3</definedName>
    <definedName name="持股分佈_69" localSheetId="5">評比系統!#REF!</definedName>
    <definedName name="持股分佈_7" localSheetId="5">評比系統!#REF!</definedName>
    <definedName name="持股分佈_70" localSheetId="5">評比系統!#REF!</definedName>
    <definedName name="持股分佈_71" localSheetId="5">評比系統!$T$3</definedName>
    <definedName name="持股分佈_72" localSheetId="5">評比系統!#REF!</definedName>
    <definedName name="持股分佈_73" localSheetId="5">評比系統!#REF!</definedName>
    <definedName name="持股分佈_74" localSheetId="5">評比系統!$T$3</definedName>
    <definedName name="持股分佈_75" localSheetId="5">評比系統!#REF!</definedName>
    <definedName name="持股分佈_76" localSheetId="5">評比系統!#REF!</definedName>
    <definedName name="持股分佈_77" localSheetId="5">評比系統!$T$3</definedName>
    <definedName name="持股分佈_78" localSheetId="5">評比系統!#REF!</definedName>
    <definedName name="持股分佈_79" localSheetId="5">評比系統!#REF!</definedName>
    <definedName name="持股分佈_8" localSheetId="5">評比系統!$T$3</definedName>
    <definedName name="持股分佈_80" localSheetId="5">評比系統!$T$3</definedName>
    <definedName name="持股分佈_81" localSheetId="5">評比系統!#REF!</definedName>
    <definedName name="持股分佈_82" localSheetId="5">評比系統!#REF!</definedName>
    <definedName name="持股分佈_83" localSheetId="5">評比系統!$T$3</definedName>
    <definedName name="持股分佈_84" localSheetId="5">評比系統!#REF!</definedName>
    <definedName name="持股分佈_85" localSheetId="5">評比系統!#REF!</definedName>
    <definedName name="持股分佈_86" localSheetId="5">評比系統!$T$3</definedName>
    <definedName name="持股分佈_87" localSheetId="5">評比系統!#REF!</definedName>
    <definedName name="持股分佈_88" localSheetId="5">評比系統!#REF!</definedName>
    <definedName name="持股分佈_89" localSheetId="5">評比系統!$T$3</definedName>
    <definedName name="持股分佈_9" localSheetId="5">評比系統!#REF!</definedName>
    <definedName name="持股分佈_90" localSheetId="5">評比系統!#REF!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37" localSheetId="1">收盤價!$R$3:$AF$707</definedName>
    <definedName name="國內上市_38" localSheetId="1">收盤價!$R$3:$AF$708</definedName>
    <definedName name="國內上市_39" localSheetId="1">收盤價!$R$3:$AF$707</definedName>
    <definedName name="國內上市_4" localSheetId="1">收盤價!#REF!</definedName>
    <definedName name="國內上市_40" localSheetId="1">收盤價!$R$3:$AF$710</definedName>
    <definedName name="國內上市_41" localSheetId="1">收盤價!$R$3:$AF$710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R71" i="2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P70"/>
  <c r="Q70"/>
  <c r="O70"/>
  <c r="P71"/>
  <c r="Q71"/>
  <c r="O71"/>
  <c r="P68"/>
  <c r="Q68"/>
  <c r="O68"/>
  <c r="P69"/>
  <c r="Q69"/>
  <c r="O69"/>
  <c r="P63"/>
  <c r="Q63"/>
  <c r="O63"/>
  <c r="P67"/>
  <c r="Q67"/>
  <c r="O67"/>
  <c r="P65"/>
  <c r="Q65"/>
  <c r="O65"/>
  <c r="P64"/>
  <c r="Q64"/>
  <c r="O64"/>
  <c r="P66"/>
  <c r="Q66"/>
  <c r="O66"/>
  <c r="P51"/>
  <c r="Q51"/>
  <c r="O51"/>
  <c r="P48"/>
  <c r="Q48"/>
  <c r="O48"/>
  <c r="P54"/>
  <c r="Q54"/>
  <c r="O54"/>
  <c r="P56"/>
  <c r="Q56"/>
  <c r="O56"/>
  <c r="P62"/>
  <c r="Q62"/>
  <c r="O62"/>
  <c r="P53"/>
  <c r="Q53"/>
  <c r="O53"/>
  <c r="P58"/>
  <c r="Q58"/>
  <c r="O58"/>
  <c r="P59"/>
  <c r="Q59"/>
  <c r="O59"/>
  <c r="P55"/>
  <c r="Q55"/>
  <c r="O55"/>
  <c r="P57"/>
  <c r="Q57"/>
  <c r="O57"/>
  <c r="P60"/>
  <c r="Q60"/>
  <c r="O60"/>
  <c r="P49"/>
  <c r="Q49"/>
  <c r="O49"/>
  <c r="P61"/>
  <c r="Q61"/>
  <c r="O61"/>
  <c r="P50"/>
  <c r="Q50"/>
  <c r="O50"/>
  <c r="P52"/>
  <c r="Q52"/>
  <c r="O52"/>
  <c r="P36"/>
  <c r="Q36"/>
  <c r="O36"/>
  <c r="P35"/>
  <c r="Q35"/>
  <c r="O35"/>
  <c r="P46"/>
  <c r="Q46"/>
  <c r="O46"/>
  <c r="P41"/>
  <c r="Q41"/>
  <c r="O41"/>
  <c r="P37"/>
  <c r="Q37"/>
  <c r="O37"/>
  <c r="P39"/>
  <c r="Q39"/>
  <c r="O39"/>
  <c r="P47"/>
  <c r="Q47"/>
  <c r="O47"/>
  <c r="P42"/>
  <c r="Q42"/>
  <c r="O42"/>
  <c r="P40"/>
  <c r="Q40"/>
  <c r="O40"/>
  <c r="P34"/>
  <c r="Q34"/>
  <c r="O34"/>
  <c r="P33"/>
  <c r="Q33"/>
  <c r="O33"/>
  <c r="P45"/>
  <c r="Q45"/>
  <c r="O45"/>
  <c r="P44"/>
  <c r="Q44"/>
  <c r="O44"/>
  <c r="P43"/>
  <c r="Q43"/>
  <c r="O43"/>
  <c r="P38"/>
  <c r="Q38"/>
  <c r="O38"/>
  <c r="P26"/>
  <c r="Q26"/>
  <c r="O26"/>
  <c r="P30"/>
  <c r="Q30"/>
  <c r="O30"/>
  <c r="P27"/>
  <c r="Q27"/>
  <c r="O27"/>
  <c r="P28"/>
  <c r="Q28"/>
  <c r="O28"/>
  <c r="P29"/>
  <c r="Q29"/>
  <c r="O29"/>
  <c r="P32"/>
  <c r="Q32"/>
  <c r="O32"/>
  <c r="P31"/>
  <c r="Q31"/>
  <c r="O31"/>
  <c r="P25"/>
  <c r="Q25"/>
  <c r="O25"/>
  <c r="P19"/>
  <c r="Q19"/>
  <c r="O19"/>
  <c r="P22"/>
  <c r="Q22"/>
  <c r="O22"/>
  <c r="P20"/>
  <c r="Q20"/>
  <c r="O20"/>
  <c r="P21"/>
  <c r="Q21"/>
  <c r="O21"/>
  <c r="P17"/>
  <c r="Q17"/>
  <c r="O17"/>
  <c r="P23"/>
  <c r="Q23"/>
  <c r="O23"/>
  <c r="P18"/>
  <c r="Q18"/>
  <c r="O18"/>
  <c r="P24"/>
  <c r="Q24"/>
  <c r="O24"/>
  <c r="P8"/>
  <c r="Q8"/>
  <c r="O8"/>
  <c r="P11"/>
  <c r="Q11"/>
  <c r="O11"/>
  <c r="P15"/>
  <c r="Q15"/>
  <c r="O15"/>
  <c r="P16"/>
  <c r="Q16"/>
  <c r="O16"/>
  <c r="P7"/>
  <c r="Q7"/>
  <c r="O7"/>
  <c r="P13"/>
  <c r="Q13"/>
  <c r="O13"/>
  <c r="P12"/>
  <c r="Q12"/>
  <c r="O12"/>
  <c r="P14"/>
  <c r="Q14"/>
  <c r="O14"/>
  <c r="P9"/>
  <c r="Q9"/>
  <c r="O9"/>
  <c r="P10"/>
  <c r="Q10"/>
  <c r="O10"/>
  <c r="P5"/>
  <c r="Q5"/>
  <c r="O5"/>
  <c r="P6"/>
  <c r="Q6"/>
  <c r="O6"/>
  <c r="P4"/>
  <c r="Q4"/>
  <c r="O4"/>
  <c r="A70"/>
  <c r="A71"/>
  <c r="A68"/>
  <c r="A69"/>
  <c r="A63"/>
  <c r="A67"/>
  <c r="A65"/>
  <c r="A64"/>
  <c r="A66"/>
  <c r="A51"/>
  <c r="A48"/>
  <c r="A54"/>
  <c r="A56"/>
  <c r="A62"/>
  <c r="A53"/>
  <c r="A58"/>
  <c r="A59"/>
  <c r="A55"/>
  <c r="A57"/>
  <c r="A60"/>
  <c r="A49"/>
  <c r="A61"/>
  <c r="A50"/>
  <c r="A52"/>
  <c r="A36"/>
  <c r="A35"/>
  <c r="A46"/>
  <c r="A41"/>
  <c r="A37"/>
  <c r="A39"/>
  <c r="A47"/>
  <c r="A42"/>
  <c r="A40"/>
  <c r="A34"/>
  <c r="A33"/>
  <c r="A45"/>
  <c r="A44"/>
  <c r="A43"/>
  <c r="A38"/>
  <c r="A26"/>
  <c r="A30"/>
  <c r="A27"/>
  <c r="A28"/>
  <c r="A29"/>
  <c r="A32"/>
  <c r="A31"/>
  <c r="A25"/>
  <c r="A19"/>
  <c r="A22"/>
  <c r="A20"/>
  <c r="A21"/>
  <c r="A17"/>
  <c r="A23"/>
  <c r="A18"/>
  <c r="A24"/>
  <c r="A8"/>
  <c r="A11"/>
  <c r="A15"/>
  <c r="A16"/>
  <c r="A7"/>
  <c r="A13"/>
  <c r="A12"/>
  <c r="A14"/>
  <c r="A9"/>
  <c r="A10"/>
  <c r="A5"/>
  <c r="A6"/>
  <c r="A4"/>
  <c r="N27"/>
  <c r="G19"/>
  <c r="F19"/>
  <c r="E19"/>
  <c r="D19"/>
  <c r="C19"/>
  <c r="G36"/>
  <c r="F36"/>
  <c r="E36"/>
  <c r="D36"/>
  <c r="C36"/>
  <c r="G8"/>
  <c r="F8"/>
  <c r="E8"/>
  <c r="D8"/>
  <c r="C8"/>
  <c r="G11"/>
  <c r="F11"/>
  <c r="E11"/>
  <c r="D11"/>
  <c r="C11"/>
  <c r="G5"/>
  <c r="F5"/>
  <c r="E5"/>
  <c r="D5"/>
  <c r="C5"/>
  <c r="G6"/>
  <c r="F6"/>
  <c r="E6"/>
  <c r="D6"/>
  <c r="C6"/>
  <c r="G22"/>
  <c r="F22"/>
  <c r="E22"/>
  <c r="D22"/>
  <c r="C22"/>
  <c r="G35"/>
  <c r="F35"/>
  <c r="E35"/>
  <c r="D35"/>
  <c r="C35"/>
  <c r="G15"/>
  <c r="F15"/>
  <c r="E15"/>
  <c r="D15"/>
  <c r="C15"/>
  <c r="G63"/>
  <c r="F63"/>
  <c r="E63"/>
  <c r="D63"/>
  <c r="C63"/>
  <c r="G51"/>
  <c r="F51"/>
  <c r="E51"/>
  <c r="D51"/>
  <c r="C51"/>
  <c r="G48"/>
  <c r="F48"/>
  <c r="E48"/>
  <c r="D48"/>
  <c r="C48"/>
  <c r="G54"/>
  <c r="F54"/>
  <c r="E54"/>
  <c r="D54"/>
  <c r="C54"/>
  <c r="G70"/>
  <c r="F70"/>
  <c r="E70"/>
  <c r="D70"/>
  <c r="C70"/>
  <c r="G56"/>
  <c r="F56"/>
  <c r="E56"/>
  <c r="D56"/>
  <c r="C56"/>
  <c r="G20"/>
  <c r="F20"/>
  <c r="E20"/>
  <c r="D20"/>
  <c r="C20"/>
  <c r="G16"/>
  <c r="F16"/>
  <c r="E16"/>
  <c r="D16"/>
  <c r="C16"/>
  <c r="G68"/>
  <c r="F68"/>
  <c r="E68"/>
  <c r="D68"/>
  <c r="C68"/>
  <c r="G62"/>
  <c r="F62"/>
  <c r="E62"/>
  <c r="D62"/>
  <c r="C62"/>
  <c r="G21"/>
  <c r="F21"/>
  <c r="E21"/>
  <c r="D21"/>
  <c r="C21"/>
  <c r="G7"/>
  <c r="F7"/>
  <c r="E7"/>
  <c r="D7"/>
  <c r="C7"/>
  <c r="G26"/>
  <c r="F26"/>
  <c r="E26"/>
  <c r="D26"/>
  <c r="C26"/>
  <c r="G30"/>
  <c r="F30"/>
  <c r="E30"/>
  <c r="D30"/>
  <c r="C30"/>
  <c r="G53"/>
  <c r="F53"/>
  <c r="E53"/>
  <c r="D53"/>
  <c r="C53"/>
  <c r="G46"/>
  <c r="F46"/>
  <c r="E46"/>
  <c r="D46"/>
  <c r="C46"/>
  <c r="G67"/>
  <c r="F67"/>
  <c r="E67"/>
  <c r="D67"/>
  <c r="C67"/>
  <c r="G13"/>
  <c r="F13"/>
  <c r="E13"/>
  <c r="D13"/>
  <c r="C13"/>
  <c r="G17"/>
  <c r="F17"/>
  <c r="E17"/>
  <c r="D17"/>
  <c r="C17"/>
  <c r="G12"/>
  <c r="F12"/>
  <c r="E12"/>
  <c r="D12"/>
  <c r="C12"/>
  <c r="G58"/>
  <c r="F58"/>
  <c r="E58"/>
  <c r="D58"/>
  <c r="C58"/>
  <c r="G28"/>
  <c r="F28"/>
  <c r="E28"/>
  <c r="D28"/>
  <c r="C28"/>
  <c r="G41"/>
  <c r="F41"/>
  <c r="E41"/>
  <c r="D41"/>
  <c r="C41"/>
  <c r="G65"/>
  <c r="F65"/>
  <c r="E65"/>
  <c r="D65"/>
  <c r="C65"/>
  <c r="G59"/>
  <c r="F59"/>
  <c r="E59"/>
  <c r="D59"/>
  <c r="C59"/>
  <c r="G23"/>
  <c r="F23"/>
  <c r="E23"/>
  <c r="D23"/>
  <c r="C23"/>
  <c r="G18"/>
  <c r="F18"/>
  <c r="E18"/>
  <c r="D18"/>
  <c r="C18"/>
  <c r="G55"/>
  <c r="F55"/>
  <c r="E55"/>
  <c r="D55"/>
  <c r="C55"/>
  <c r="G57"/>
  <c r="F57"/>
  <c r="E57"/>
  <c r="D57"/>
  <c r="C57"/>
  <c r="G29"/>
  <c r="F29"/>
  <c r="E29"/>
  <c r="D29"/>
  <c r="C29"/>
  <c r="G14"/>
  <c r="F14"/>
  <c r="E14"/>
  <c r="D14"/>
  <c r="C14"/>
  <c r="G9"/>
  <c r="F9"/>
  <c r="E9"/>
  <c r="D9"/>
  <c r="C9"/>
  <c r="G64"/>
  <c r="F64"/>
  <c r="E64"/>
  <c r="D64"/>
  <c r="C64"/>
  <c r="G37"/>
  <c r="F37"/>
  <c r="E37"/>
  <c r="D37"/>
  <c r="C37"/>
  <c r="G60"/>
  <c r="F60"/>
  <c r="E60"/>
  <c r="D60"/>
  <c r="C60"/>
  <c r="G10"/>
  <c r="F10"/>
  <c r="E10"/>
  <c r="D10"/>
  <c r="C10"/>
  <c r="G71"/>
  <c r="F71"/>
  <c r="E71"/>
  <c r="D71"/>
  <c r="C71"/>
  <c r="G49"/>
  <c r="F49"/>
  <c r="E49"/>
  <c r="D49"/>
  <c r="C49"/>
  <c r="G39"/>
  <c r="F39"/>
  <c r="E39"/>
  <c r="D39"/>
  <c r="C39"/>
  <c r="G47"/>
  <c r="F47"/>
  <c r="E47"/>
  <c r="D47"/>
  <c r="C47"/>
  <c r="G66"/>
  <c r="F66"/>
  <c r="E66"/>
  <c r="D66"/>
  <c r="C66"/>
  <c r="G42"/>
  <c r="F42"/>
  <c r="E42"/>
  <c r="D42"/>
  <c r="C42"/>
  <c r="G4"/>
  <c r="F4"/>
  <c r="E4"/>
  <c r="D4"/>
  <c r="C4"/>
  <c r="G32"/>
  <c r="F32"/>
  <c r="E32"/>
  <c r="D32"/>
  <c r="C32"/>
  <c r="G31"/>
  <c r="F31"/>
  <c r="E31"/>
  <c r="D31"/>
  <c r="C31"/>
  <c r="G40"/>
  <c r="F40"/>
  <c r="E40"/>
  <c r="D40"/>
  <c r="C40"/>
  <c r="G34"/>
  <c r="F34"/>
  <c r="E34"/>
  <c r="D34"/>
  <c r="C34"/>
  <c r="G33"/>
  <c r="F33"/>
  <c r="E33"/>
  <c r="D33"/>
  <c r="C33"/>
  <c r="G25"/>
  <c r="F25"/>
  <c r="E25"/>
  <c r="D25"/>
  <c r="C25"/>
  <c r="G61"/>
  <c r="F61"/>
  <c r="E61"/>
  <c r="D61"/>
  <c r="C61"/>
  <c r="G45"/>
  <c r="F45"/>
  <c r="E45"/>
  <c r="D45"/>
  <c r="C45"/>
  <c r="G69"/>
  <c r="F69"/>
  <c r="E69"/>
  <c r="D69"/>
  <c r="C69"/>
  <c r="G50"/>
  <c r="F50"/>
  <c r="E50"/>
  <c r="D50"/>
  <c r="C50"/>
  <c r="G44"/>
  <c r="F44"/>
  <c r="E44"/>
  <c r="D44"/>
  <c r="C44"/>
  <c r="G24"/>
  <c r="F24"/>
  <c r="E24"/>
  <c r="D24"/>
  <c r="C24"/>
  <c r="G43"/>
  <c r="F43"/>
  <c r="E43"/>
  <c r="D43"/>
  <c r="C43"/>
  <c r="G38"/>
  <c r="F38"/>
  <c r="E38"/>
  <c r="D38"/>
  <c r="C38"/>
  <c r="G52"/>
  <c r="F52"/>
  <c r="E52"/>
  <c r="D52"/>
  <c r="C52"/>
  <c r="N43" l="1"/>
  <c r="N24"/>
  <c r="N69"/>
  <c r="N45"/>
  <c r="N33"/>
  <c r="N34"/>
  <c r="N32"/>
  <c r="N4"/>
  <c r="N47"/>
  <c r="N39"/>
  <c r="N10"/>
  <c r="N60"/>
  <c r="N9"/>
  <c r="N14"/>
  <c r="N55"/>
  <c r="N18"/>
  <c r="N65"/>
  <c r="N41"/>
  <c r="N12"/>
  <c r="N17"/>
  <c r="N46"/>
  <c r="N53"/>
  <c r="N7"/>
  <c r="N21"/>
  <c r="N16"/>
  <c r="N20"/>
  <c r="N54"/>
  <c r="N48"/>
  <c r="N15"/>
  <c r="N35"/>
  <c r="N5"/>
  <c r="N11"/>
  <c r="N19"/>
  <c r="N52"/>
  <c r="N42"/>
  <c r="N49"/>
  <c r="N64"/>
  <c r="N29"/>
  <c r="N57"/>
  <c r="N23"/>
  <c r="N59"/>
  <c r="N28"/>
  <c r="N58"/>
  <c r="N13"/>
  <c r="N67"/>
  <c r="N30"/>
  <c r="N26"/>
  <c r="N62"/>
  <c r="N68"/>
  <c r="N56"/>
  <c r="N70"/>
  <c r="N51"/>
  <c r="N63"/>
  <c r="N22"/>
  <c r="N6"/>
  <c r="N8"/>
  <c r="N36"/>
  <c r="N38"/>
  <c r="N44"/>
  <c r="N50"/>
  <c r="N61"/>
  <c r="N25"/>
  <c r="N40"/>
  <c r="N31"/>
  <c r="N66"/>
  <c r="N71"/>
  <c r="N37"/>
  <c r="AC19" i="1"/>
  <c r="AD12"/>
  <c r="AC12"/>
  <c r="AB12"/>
  <c r="V2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C12" i="23"/>
  <c r="C11"/>
  <c r="C9"/>
  <c r="C8"/>
  <c r="C7"/>
  <c r="D1585" i="17" l="1"/>
  <c r="D1582"/>
  <c r="D1577"/>
  <c r="D1563"/>
  <c r="D1560"/>
  <c r="D1559"/>
  <c r="D1502"/>
  <c r="D1558"/>
  <c r="D1504"/>
  <c r="D1359"/>
  <c r="D1237"/>
  <c r="D1073"/>
  <c r="D882"/>
  <c r="D425"/>
  <c r="D1557"/>
  <c r="D1556"/>
  <c r="D1548"/>
  <c r="D1174"/>
  <c r="D1547"/>
  <c r="D1024"/>
  <c r="D1546"/>
  <c r="D1509"/>
  <c r="D1515"/>
  <c r="D1471"/>
  <c r="D1384"/>
  <c r="D1207"/>
  <c r="D695"/>
  <c r="D763"/>
  <c r="D1530"/>
  <c r="D1528"/>
  <c r="D1529"/>
  <c r="D1527"/>
  <c r="D1526"/>
  <c r="D1525"/>
  <c r="D1521"/>
  <c r="D1524"/>
  <c r="D1555"/>
  <c r="D1523"/>
  <c r="D1522"/>
  <c r="D1519"/>
  <c r="D1520"/>
  <c r="D1514"/>
  <c r="D1517"/>
  <c r="D1516"/>
  <c r="D1513"/>
  <c r="D1510"/>
  <c r="D1512"/>
  <c r="D1518"/>
  <c r="D1491"/>
  <c r="D1508"/>
  <c r="D1495"/>
  <c r="D1511"/>
  <c r="D1497"/>
  <c r="D1505"/>
  <c r="D1501"/>
  <c r="D1506"/>
  <c r="D1507"/>
  <c r="D1498"/>
  <c r="D1503"/>
  <c r="D1492"/>
  <c r="D1496"/>
  <c r="D1499"/>
  <c r="D1494"/>
  <c r="D1483"/>
  <c r="D1487"/>
  <c r="D1493"/>
  <c r="D1485"/>
  <c r="D1296"/>
  <c r="D1486"/>
  <c r="D1475"/>
  <c r="D1489"/>
  <c r="D1481"/>
  <c r="D1488"/>
  <c r="D1482"/>
  <c r="D1466"/>
  <c r="D1458"/>
  <c r="D1490"/>
  <c r="D1480"/>
  <c r="D1477"/>
  <c r="D1500"/>
  <c r="D1472"/>
  <c r="D1465"/>
  <c r="D1476"/>
  <c r="D1545"/>
  <c r="D1479"/>
  <c r="D1474"/>
  <c r="D1450"/>
  <c r="D1473"/>
  <c r="D1478"/>
  <c r="D1409"/>
  <c r="D1469"/>
  <c r="D1544"/>
  <c r="D1422"/>
  <c r="D1467"/>
  <c r="D1468"/>
  <c r="D1452"/>
  <c r="D1459"/>
  <c r="D1400"/>
  <c r="D1464"/>
  <c r="D1453"/>
  <c r="D1410"/>
  <c r="D1418"/>
  <c r="D1484"/>
  <c r="D1470"/>
  <c r="D1454"/>
  <c r="D1463"/>
  <c r="D1446"/>
  <c r="D1451"/>
  <c r="D1445"/>
  <c r="D1455"/>
  <c r="D1461"/>
  <c r="D1456"/>
  <c r="D1303"/>
  <c r="D1421"/>
  <c r="D1543"/>
  <c r="D1441"/>
  <c r="D1448"/>
  <c r="D1462"/>
  <c r="D1449"/>
  <c r="D1437"/>
  <c r="D1444"/>
  <c r="D1377"/>
  <c r="D1407"/>
  <c r="D1419"/>
  <c r="D1424"/>
  <c r="D1427"/>
  <c r="D1433"/>
  <c r="D1432"/>
  <c r="D1442"/>
  <c r="D1440"/>
  <c r="D1436"/>
  <c r="D1439"/>
  <c r="D1447"/>
  <c r="D1415"/>
  <c r="D1438"/>
  <c r="D1429"/>
  <c r="D1426"/>
  <c r="D1457"/>
  <c r="D1417"/>
  <c r="D1406"/>
  <c r="D1430"/>
  <c r="D1370"/>
  <c r="D1443"/>
  <c r="D1435"/>
  <c r="D1542"/>
  <c r="D1431"/>
  <c r="D1541"/>
  <c r="D1416"/>
  <c r="D1423"/>
  <c r="D1401"/>
  <c r="D1420"/>
  <c r="D1428"/>
  <c r="D1434"/>
  <c r="D1412"/>
  <c r="D1411"/>
  <c r="D1395"/>
  <c r="D1380"/>
  <c r="D1385"/>
  <c r="D1357"/>
  <c r="D1402"/>
  <c r="D1540"/>
  <c r="D1413"/>
  <c r="D1391"/>
  <c r="D1368"/>
  <c r="D1397"/>
  <c r="D1365"/>
  <c r="D1393"/>
  <c r="D1340"/>
  <c r="D1403"/>
  <c r="D1383"/>
  <c r="D1372"/>
  <c r="D1308"/>
  <c r="D1373"/>
  <c r="D1398"/>
  <c r="D1371"/>
  <c r="D1388"/>
  <c r="D1379"/>
  <c r="D1353"/>
  <c r="D1392"/>
  <c r="D1375"/>
  <c r="D1350"/>
  <c r="D1381"/>
  <c r="D1408"/>
  <c r="D1405"/>
  <c r="D1261"/>
  <c r="D1382"/>
  <c r="D1460"/>
  <c r="D1387"/>
  <c r="D1367"/>
  <c r="D1376"/>
  <c r="D1404"/>
  <c r="D1539"/>
  <c r="D1386"/>
  <c r="D1390"/>
  <c r="D1374"/>
  <c r="D1399"/>
  <c r="D1354"/>
  <c r="D1369"/>
  <c r="D1364"/>
  <c r="D1361"/>
  <c r="D1280"/>
  <c r="D1360"/>
  <c r="D1414"/>
  <c r="D1269"/>
  <c r="D1538"/>
  <c r="D1226"/>
  <c r="D1358"/>
  <c r="D1356"/>
  <c r="D1352"/>
  <c r="D1378"/>
  <c r="D1394"/>
  <c r="D1366"/>
  <c r="D1351"/>
  <c r="D1332"/>
  <c r="D1346"/>
  <c r="D1425"/>
  <c r="D1345"/>
  <c r="D1396"/>
  <c r="D1341"/>
  <c r="D1348"/>
  <c r="D1335"/>
  <c r="D1329"/>
  <c r="D1330"/>
  <c r="D1316"/>
  <c r="D1307"/>
  <c r="D1344"/>
  <c r="D1355"/>
  <c r="D1337"/>
  <c r="D1244"/>
  <c r="D1342"/>
  <c r="D1334"/>
  <c r="D1314"/>
  <c r="D1328"/>
  <c r="D1338"/>
  <c r="D1327"/>
  <c r="D1326"/>
  <c r="D1363"/>
  <c r="D1245"/>
  <c r="D1190"/>
  <c r="D1312"/>
  <c r="D1537"/>
  <c r="D1313"/>
  <c r="D1333"/>
  <c r="D1536"/>
  <c r="D1331"/>
  <c r="D1305"/>
  <c r="D1343"/>
  <c r="D1336"/>
  <c r="D1318"/>
  <c r="D1339"/>
  <c r="D1319"/>
  <c r="D1389"/>
  <c r="D1347"/>
  <c r="D1310"/>
  <c r="D1222"/>
  <c r="D1317"/>
  <c r="D1281"/>
  <c r="D1325"/>
  <c r="D1246"/>
  <c r="D1322"/>
  <c r="D1294"/>
  <c r="D1362"/>
  <c r="D1304"/>
  <c r="D1271"/>
  <c r="D1263"/>
  <c r="D1306"/>
  <c r="D1279"/>
  <c r="D1302"/>
  <c r="D1301"/>
  <c r="D1311"/>
  <c r="D1257"/>
  <c r="D1267"/>
  <c r="D1295"/>
  <c r="D1277"/>
  <c r="D1276"/>
  <c r="D1300"/>
  <c r="D1290"/>
  <c r="D1287"/>
  <c r="D1288"/>
  <c r="D1228"/>
  <c r="D1297"/>
  <c r="D1291"/>
  <c r="D1320"/>
  <c r="D1273"/>
  <c r="D1265"/>
  <c r="D1262"/>
  <c r="D1299"/>
  <c r="D1272"/>
  <c r="D1284"/>
  <c r="D1266"/>
  <c r="D1229"/>
  <c r="D1158"/>
  <c r="D1252"/>
  <c r="D1258"/>
  <c r="D1020"/>
  <c r="D1268"/>
  <c r="D1259"/>
  <c r="D1315"/>
  <c r="D1278"/>
  <c r="D1219"/>
  <c r="D1238"/>
  <c r="D1321"/>
  <c r="D1260"/>
  <c r="D1247"/>
  <c r="D1324"/>
  <c r="D1250"/>
  <c r="D1270"/>
  <c r="D1185"/>
  <c r="D1255"/>
  <c r="D1209"/>
  <c r="D1236"/>
  <c r="D1293"/>
  <c r="D1264"/>
  <c r="D1253"/>
  <c r="D1239"/>
  <c r="D1554"/>
  <c r="D935"/>
  <c r="D1235"/>
  <c r="D1309"/>
  <c r="D1234"/>
  <c r="D1217"/>
  <c r="D1221"/>
  <c r="D1256"/>
  <c r="D1243"/>
  <c r="D1242"/>
  <c r="D1275"/>
  <c r="D1535"/>
  <c r="D1233"/>
  <c r="D1534"/>
  <c r="D1298"/>
  <c r="D1199"/>
  <c r="D1225"/>
  <c r="D1292"/>
  <c r="D1170"/>
  <c r="D1197"/>
  <c r="D1210"/>
  <c r="D1213"/>
  <c r="D1099"/>
  <c r="D1240"/>
  <c r="D1274"/>
  <c r="D1282"/>
  <c r="D1186"/>
  <c r="D1161"/>
  <c r="D1218"/>
  <c r="D1251"/>
  <c r="D1168"/>
  <c r="D1194"/>
  <c r="D1286"/>
  <c r="D1189"/>
  <c r="D1227"/>
  <c r="D1254"/>
  <c r="D1200"/>
  <c r="D1241"/>
  <c r="D1068"/>
  <c r="D1283"/>
  <c r="D1183"/>
  <c r="D1248"/>
  <c r="D1151"/>
  <c r="D1198"/>
  <c r="D1214"/>
  <c r="D1192"/>
  <c r="D1232"/>
  <c r="D1202"/>
  <c r="D1223"/>
  <c r="D1203"/>
  <c r="D1179"/>
  <c r="D1165"/>
  <c r="D1195"/>
  <c r="D1034"/>
  <c r="D1215"/>
  <c r="D1201"/>
  <c r="D1230"/>
  <c r="D1157"/>
  <c r="D1208"/>
  <c r="D1349"/>
  <c r="D843"/>
  <c r="D1182"/>
  <c r="D1211"/>
  <c r="D1175"/>
  <c r="D1187"/>
  <c r="D1171"/>
  <c r="D1220"/>
  <c r="D1188"/>
  <c r="D1112"/>
  <c r="D1145"/>
  <c r="D1177"/>
  <c r="D1143"/>
  <c r="D1133"/>
  <c r="D1206"/>
  <c r="D1146"/>
  <c r="D1150"/>
  <c r="D1323"/>
  <c r="D1147"/>
  <c r="D1178"/>
  <c r="D1164"/>
  <c r="D1155"/>
  <c r="D1191"/>
  <c r="D1212"/>
  <c r="D1097"/>
  <c r="D1249"/>
  <c r="D1101"/>
  <c r="D1096"/>
  <c r="D1184"/>
  <c r="D1136"/>
  <c r="D1196"/>
  <c r="D1166"/>
  <c r="D1129"/>
  <c r="D1156"/>
  <c r="D1231"/>
  <c r="D1172"/>
  <c r="D1140"/>
  <c r="D1154"/>
  <c r="D1141"/>
  <c r="D1128"/>
  <c r="D1139"/>
  <c r="D1181"/>
  <c r="D1130"/>
  <c r="D1163"/>
  <c r="D1160"/>
  <c r="D1071"/>
  <c r="D1153"/>
  <c r="D1107"/>
  <c r="D1106"/>
  <c r="D1173"/>
  <c r="D1180"/>
  <c r="D1135"/>
  <c r="D1108"/>
  <c r="D1137"/>
  <c r="D1110"/>
  <c r="D885"/>
  <c r="D1134"/>
  <c r="D1176"/>
  <c r="D1162"/>
  <c r="D1152"/>
  <c r="D1533"/>
  <c r="D1167"/>
  <c r="D1090"/>
  <c r="D729"/>
  <c r="D1113"/>
  <c r="D1285"/>
  <c r="D1005"/>
  <c r="D1159"/>
  <c r="D1148"/>
  <c r="D723"/>
  <c r="D1115"/>
  <c r="D1058"/>
  <c r="D1031"/>
  <c r="D1011"/>
  <c r="D1109"/>
  <c r="D1149"/>
  <c r="D1098"/>
  <c r="D1111"/>
  <c r="D1216"/>
  <c r="D821"/>
  <c r="D1116"/>
  <c r="D1124"/>
  <c r="D1120"/>
  <c r="D1095"/>
  <c r="D1122"/>
  <c r="D1204"/>
  <c r="D1076"/>
  <c r="D1144"/>
  <c r="D1119"/>
  <c r="D1138"/>
  <c r="D1126"/>
  <c r="D1083"/>
  <c r="D1105"/>
  <c r="D1084"/>
  <c r="D1029"/>
  <c r="D1127"/>
  <c r="D1044"/>
  <c r="D1080"/>
  <c r="D1118"/>
  <c r="D1060"/>
  <c r="D1079"/>
  <c r="D1100"/>
  <c r="D953"/>
  <c r="D1532"/>
  <c r="D1117"/>
  <c r="D1082"/>
  <c r="D1104"/>
  <c r="D1142"/>
  <c r="D1131"/>
  <c r="D1089"/>
  <c r="D1086"/>
  <c r="D1553"/>
  <c r="D1132"/>
  <c r="D1085"/>
  <c r="D1074"/>
  <c r="D756"/>
  <c r="D1063"/>
  <c r="D1081"/>
  <c r="D1093"/>
  <c r="D1051"/>
  <c r="D1552"/>
  <c r="D1077"/>
  <c r="D1023"/>
  <c r="D1092"/>
  <c r="D1052"/>
  <c r="D1102"/>
  <c r="D1069"/>
  <c r="D1045"/>
  <c r="D1078"/>
  <c r="D1121"/>
  <c r="D1043"/>
  <c r="D993"/>
  <c r="D1072"/>
  <c r="D1169"/>
  <c r="D1053"/>
  <c r="D1046"/>
  <c r="D1014"/>
  <c r="D933"/>
  <c r="D1070"/>
  <c r="D970"/>
  <c r="D945"/>
  <c r="D1056"/>
  <c r="D1049"/>
  <c r="D1067"/>
  <c r="D1036"/>
  <c r="D1114"/>
  <c r="D754"/>
  <c r="D1039"/>
  <c r="D994"/>
  <c r="D951"/>
  <c r="D1224"/>
  <c r="D1010"/>
  <c r="D1006"/>
  <c r="D1061"/>
  <c r="D1040"/>
  <c r="D810"/>
  <c r="D1050"/>
  <c r="D1193"/>
  <c r="D1087"/>
  <c r="D1000"/>
  <c r="D975"/>
  <c r="D1088"/>
  <c r="D1059"/>
  <c r="D1035"/>
  <c r="D1062"/>
  <c r="D1066"/>
  <c r="D1016"/>
  <c r="D1094"/>
  <c r="D1037"/>
  <c r="D942"/>
  <c r="D1054"/>
  <c r="D1091"/>
  <c r="D996"/>
  <c r="D963"/>
  <c r="D1002"/>
  <c r="D1009"/>
  <c r="D971"/>
  <c r="D958"/>
  <c r="D981"/>
  <c r="D984"/>
  <c r="D787"/>
  <c r="D1065"/>
  <c r="D976"/>
  <c r="D1038"/>
  <c r="D995"/>
  <c r="D1019"/>
  <c r="D1123"/>
  <c r="D895"/>
  <c r="D999"/>
  <c r="D1015"/>
  <c r="D1033"/>
  <c r="D968"/>
  <c r="D1028"/>
  <c r="D1026"/>
  <c r="D1047"/>
  <c r="D1003"/>
  <c r="D1075"/>
  <c r="D1021"/>
  <c r="D1007"/>
  <c r="D1055"/>
  <c r="D1025"/>
  <c r="D964"/>
  <c r="D1064"/>
  <c r="D918"/>
  <c r="D992"/>
  <c r="D998"/>
  <c r="D983"/>
  <c r="D973"/>
  <c r="D1531"/>
  <c r="D1125"/>
  <c r="D997"/>
  <c r="D1103"/>
  <c r="D985"/>
  <c r="D961"/>
  <c r="D988"/>
  <c r="D1027"/>
  <c r="D1551"/>
  <c r="D980"/>
  <c r="D954"/>
  <c r="D991"/>
  <c r="D1017"/>
  <c r="D972"/>
  <c r="D1030"/>
  <c r="D913"/>
  <c r="D925"/>
  <c r="D1057"/>
  <c r="D683"/>
  <c r="D824"/>
  <c r="D966"/>
  <c r="D987"/>
  <c r="D978"/>
  <c r="D952"/>
  <c r="D989"/>
  <c r="D1004"/>
  <c r="D948"/>
  <c r="D908"/>
  <c r="D919"/>
  <c r="D932"/>
  <c r="D977"/>
  <c r="D979"/>
  <c r="D1018"/>
  <c r="D967"/>
  <c r="D928"/>
  <c r="D1013"/>
  <c r="D856"/>
  <c r="D946"/>
  <c r="D1012"/>
  <c r="D1042"/>
  <c r="D1022"/>
  <c r="D944"/>
  <c r="D922"/>
  <c r="D1048"/>
  <c r="D950"/>
  <c r="D982"/>
  <c r="D934"/>
  <c r="D969"/>
  <c r="D956"/>
  <c r="D852"/>
  <c r="D937"/>
  <c r="D990"/>
  <c r="D929"/>
  <c r="D955"/>
  <c r="D855"/>
  <c r="D960"/>
  <c r="D927"/>
  <c r="D923"/>
  <c r="D1032"/>
  <c r="D939"/>
  <c r="D930"/>
  <c r="D797"/>
  <c r="D936"/>
  <c r="D904"/>
  <c r="D861"/>
  <c r="D889"/>
  <c r="D938"/>
  <c r="D962"/>
  <c r="D911"/>
  <c r="D1001"/>
  <c r="D917"/>
  <c r="D926"/>
  <c r="D894"/>
  <c r="D878"/>
  <c r="D1041"/>
  <c r="D974"/>
  <c r="D915"/>
  <c r="D909"/>
  <c r="D921"/>
  <c r="D940"/>
  <c r="D924"/>
  <c r="D351"/>
  <c r="D949"/>
  <c r="D901"/>
  <c r="D943"/>
  <c r="D986"/>
  <c r="D819"/>
  <c r="D916"/>
  <c r="D959"/>
  <c r="D866"/>
  <c r="D817"/>
  <c r="D957"/>
  <c r="D849"/>
  <c r="D896"/>
  <c r="D834"/>
  <c r="D906"/>
  <c r="D965"/>
  <c r="D931"/>
  <c r="D881"/>
  <c r="D900"/>
  <c r="D877"/>
  <c r="D875"/>
  <c r="D1205"/>
  <c r="D947"/>
  <c r="D873"/>
  <c r="D863"/>
  <c r="D872"/>
  <c r="D898"/>
  <c r="D1008"/>
  <c r="D888"/>
  <c r="D835"/>
  <c r="D813"/>
  <c r="D822"/>
  <c r="D865"/>
  <c r="D859"/>
  <c r="D794"/>
  <c r="D890"/>
  <c r="D847"/>
  <c r="D826"/>
  <c r="D870"/>
  <c r="D853"/>
  <c r="D920"/>
  <c r="D879"/>
  <c r="D887"/>
  <c r="D864"/>
  <c r="D914"/>
  <c r="D899"/>
  <c r="D839"/>
  <c r="D874"/>
  <c r="D753"/>
  <c r="D884"/>
  <c r="D829"/>
  <c r="D897"/>
  <c r="D883"/>
  <c r="D811"/>
  <c r="D868"/>
  <c r="D867"/>
  <c r="D880"/>
  <c r="D857"/>
  <c r="D738"/>
  <c r="D836"/>
  <c r="D831"/>
  <c r="D833"/>
  <c r="D800"/>
  <c r="D905"/>
  <c r="D846"/>
  <c r="D820"/>
  <c r="D845"/>
  <c r="D860"/>
  <c r="D791"/>
  <c r="D785"/>
  <c r="D816"/>
  <c r="D832"/>
  <c r="D841"/>
  <c r="D840"/>
  <c r="D837"/>
  <c r="D869"/>
  <c r="D912"/>
  <c r="D827"/>
  <c r="D941"/>
  <c r="D842"/>
  <c r="D795"/>
  <c r="D851"/>
  <c r="D902"/>
  <c r="D808"/>
  <c r="D907"/>
  <c r="D862"/>
  <c r="D892"/>
  <c r="D790"/>
  <c r="D848"/>
  <c r="D891"/>
  <c r="D876"/>
  <c r="D838"/>
  <c r="D781"/>
  <c r="D825"/>
  <c r="D778"/>
  <c r="D745"/>
  <c r="D830"/>
  <c r="D796"/>
  <c r="D803"/>
  <c r="D809"/>
  <c r="D799"/>
  <c r="D789"/>
  <c r="D807"/>
  <c r="D844"/>
  <c r="D850"/>
  <c r="D801"/>
  <c r="D779"/>
  <c r="D742"/>
  <c r="D733"/>
  <c r="D793"/>
  <c r="D760"/>
  <c r="D750"/>
  <c r="D758"/>
  <c r="D805"/>
  <c r="D792"/>
  <c r="D767"/>
  <c r="D910"/>
  <c r="D751"/>
  <c r="D773"/>
  <c r="D814"/>
  <c r="D772"/>
  <c r="D788"/>
  <c r="D780"/>
  <c r="D757"/>
  <c r="D719"/>
  <c r="D784"/>
  <c r="D806"/>
  <c r="D728"/>
  <c r="D714"/>
  <c r="D740"/>
  <c r="D903"/>
  <c r="D752"/>
  <c r="D764"/>
  <c r="D749"/>
  <c r="D701"/>
  <c r="D722"/>
  <c r="D708"/>
  <c r="D774"/>
  <c r="D711"/>
  <c r="D770"/>
  <c r="D776"/>
  <c r="D818"/>
  <c r="D716"/>
  <c r="D771"/>
  <c r="D812"/>
  <c r="D871"/>
  <c r="D700"/>
  <c r="D746"/>
  <c r="D739"/>
  <c r="D766"/>
  <c r="D1289"/>
  <c r="D759"/>
  <c r="D715"/>
  <c r="D755"/>
  <c r="D703"/>
  <c r="D782"/>
  <c r="D747"/>
  <c r="D775"/>
  <c r="D725"/>
  <c r="D886"/>
  <c r="D761"/>
  <c r="D671"/>
  <c r="D762"/>
  <c r="D786"/>
  <c r="D804"/>
  <c r="D858"/>
  <c r="D687"/>
  <c r="D287"/>
  <c r="D802"/>
  <c r="D737"/>
  <c r="D748"/>
  <c r="D710"/>
  <c r="D713"/>
  <c r="D768"/>
  <c r="D698"/>
  <c r="D783"/>
  <c r="D682"/>
  <c r="D659"/>
  <c r="D660"/>
  <c r="D823"/>
  <c r="D777"/>
  <c r="D735"/>
  <c r="D718"/>
  <c r="D815"/>
  <c r="D743"/>
  <c r="D731"/>
  <c r="D741"/>
  <c r="D628"/>
  <c r="D565"/>
  <c r="D732"/>
  <c r="D684"/>
  <c r="D744"/>
  <c r="D624"/>
  <c r="D692"/>
  <c r="D705"/>
  <c r="D720"/>
  <c r="D730"/>
  <c r="D644"/>
  <c r="D721"/>
  <c r="D798"/>
  <c r="D706"/>
  <c r="D893"/>
  <c r="D854"/>
  <c r="D828"/>
  <c r="D615"/>
  <c r="D681"/>
  <c r="D662"/>
  <c r="D726"/>
  <c r="D621"/>
  <c r="D674"/>
  <c r="D527"/>
  <c r="D697"/>
  <c r="D577"/>
  <c r="D631"/>
  <c r="D680"/>
  <c r="D691"/>
  <c r="D712"/>
  <c r="D640"/>
  <c r="D666"/>
  <c r="D653"/>
  <c r="D707"/>
  <c r="D690"/>
  <c r="D670"/>
  <c r="D656"/>
  <c r="D648"/>
  <c r="D474"/>
  <c r="D704"/>
  <c r="D736"/>
  <c r="D688"/>
  <c r="D765"/>
  <c r="D676"/>
  <c r="D693"/>
  <c r="D614"/>
  <c r="D769"/>
  <c r="D610"/>
  <c r="D677"/>
  <c r="D696"/>
  <c r="D642"/>
  <c r="D641"/>
  <c r="D599"/>
  <c r="D694"/>
  <c r="D607"/>
  <c r="D629"/>
  <c r="D734"/>
  <c r="D622"/>
  <c r="D646"/>
  <c r="D638"/>
  <c r="D668"/>
  <c r="D673"/>
  <c r="D724"/>
  <c r="D727"/>
  <c r="D574"/>
  <c r="D639"/>
  <c r="D608"/>
  <c r="D717"/>
  <c r="D601"/>
  <c r="D651"/>
  <c r="D679"/>
  <c r="D699"/>
  <c r="D663"/>
  <c r="D686"/>
  <c r="D606"/>
  <c r="D517"/>
  <c r="D657"/>
  <c r="D667"/>
  <c r="D655"/>
  <c r="D702"/>
  <c r="D538"/>
  <c r="D650"/>
  <c r="D709"/>
  <c r="D672"/>
  <c r="D617"/>
  <c r="D504"/>
  <c r="D669"/>
  <c r="D636"/>
  <c r="D623"/>
  <c r="D634"/>
  <c r="D649"/>
  <c r="D643"/>
  <c r="D401"/>
  <c r="D578"/>
  <c r="D637"/>
  <c r="D658"/>
  <c r="D611"/>
  <c r="D521"/>
  <c r="D428"/>
  <c r="D244"/>
  <c r="D602"/>
  <c r="D605"/>
  <c r="D625"/>
  <c r="D596"/>
  <c r="D620"/>
  <c r="D598"/>
  <c r="D568"/>
  <c r="D541"/>
  <c r="D665"/>
  <c r="D626"/>
  <c r="D654"/>
  <c r="D635"/>
  <c r="D616"/>
  <c r="D470"/>
  <c r="D645"/>
  <c r="D675"/>
  <c r="D613"/>
  <c r="D585"/>
  <c r="D618"/>
  <c r="D664"/>
  <c r="D572"/>
  <c r="D633"/>
  <c r="D603"/>
  <c r="D630"/>
  <c r="D627"/>
  <c r="D619"/>
  <c r="D604"/>
  <c r="D597"/>
  <c r="D586"/>
  <c r="D560"/>
  <c r="D550"/>
  <c r="D647"/>
  <c r="D689"/>
  <c r="D661"/>
  <c r="D582"/>
  <c r="D534"/>
  <c r="D570"/>
  <c r="D612"/>
  <c r="D573"/>
  <c r="D581"/>
  <c r="D414"/>
  <c r="D580"/>
  <c r="D593"/>
  <c r="D595"/>
  <c r="D600"/>
  <c r="D609"/>
  <c r="D587"/>
  <c r="D529"/>
  <c r="D652"/>
  <c r="D552"/>
  <c r="D563"/>
  <c r="D548"/>
  <c r="D678"/>
  <c r="D554"/>
  <c r="D594"/>
  <c r="D588"/>
  <c r="D590"/>
  <c r="D555"/>
  <c r="D592"/>
  <c r="D522"/>
  <c r="D315"/>
  <c r="D589"/>
  <c r="D546"/>
  <c r="D566"/>
  <c r="D557"/>
  <c r="D558"/>
  <c r="D559"/>
  <c r="D561"/>
  <c r="D579"/>
  <c r="D508"/>
  <c r="D502"/>
  <c r="D526"/>
  <c r="D549"/>
  <c r="D544"/>
  <c r="D536"/>
  <c r="D575"/>
  <c r="D562"/>
  <c r="D551"/>
  <c r="D556"/>
  <c r="D494"/>
  <c r="D539"/>
  <c r="D483"/>
  <c r="D591"/>
  <c r="D499"/>
  <c r="D583"/>
  <c r="D518"/>
  <c r="D533"/>
  <c r="D576"/>
  <c r="D460"/>
  <c r="D485"/>
  <c r="D569"/>
  <c r="D531"/>
  <c r="D513"/>
  <c r="D439"/>
  <c r="D571"/>
  <c r="D540"/>
  <c r="D478"/>
  <c r="D372"/>
  <c r="D493"/>
  <c r="D530"/>
  <c r="D542"/>
  <c r="D547"/>
  <c r="D567"/>
  <c r="D632"/>
  <c r="D519"/>
  <c r="D535"/>
  <c r="D455"/>
  <c r="D520"/>
  <c r="D515"/>
  <c r="D509"/>
  <c r="D507"/>
  <c r="D481"/>
  <c r="D524"/>
  <c r="D685"/>
  <c r="D543"/>
  <c r="D480"/>
  <c r="D525"/>
  <c r="D537"/>
  <c r="D495"/>
  <c r="D492"/>
  <c r="D505"/>
  <c r="D487"/>
  <c r="D516"/>
  <c r="D482"/>
  <c r="D500"/>
  <c r="D545"/>
  <c r="D459"/>
  <c r="D472"/>
  <c r="D467"/>
  <c r="D324"/>
  <c r="D511"/>
  <c r="D491"/>
  <c r="D553"/>
  <c r="D514"/>
  <c r="D489"/>
  <c r="D503"/>
  <c r="D486"/>
  <c r="D523"/>
  <c r="D462"/>
  <c r="D295"/>
  <c r="D454"/>
  <c r="D418"/>
  <c r="D510"/>
  <c r="D442"/>
  <c r="D434"/>
  <c r="D451"/>
  <c r="D445"/>
  <c r="D484"/>
  <c r="D497"/>
  <c r="D407"/>
  <c r="D370"/>
  <c r="D477"/>
  <c r="D532"/>
  <c r="D468"/>
  <c r="D429"/>
  <c r="D447"/>
  <c r="D473"/>
  <c r="D198"/>
  <c r="D471"/>
  <c r="D465"/>
  <c r="D449"/>
  <c r="D446"/>
  <c r="D443"/>
  <c r="D458"/>
  <c r="D463"/>
  <c r="D444"/>
  <c r="D456"/>
  <c r="D490"/>
  <c r="D479"/>
  <c r="D528"/>
  <c r="D435"/>
  <c r="D431"/>
  <c r="D448"/>
  <c r="D461"/>
  <c r="D564"/>
  <c r="D512"/>
  <c r="D475"/>
  <c r="D453"/>
  <c r="D383"/>
  <c r="D421"/>
  <c r="D466"/>
  <c r="D432"/>
  <c r="D423"/>
  <c r="D450"/>
  <c r="D498"/>
  <c r="D437"/>
  <c r="D408"/>
  <c r="D469"/>
  <c r="D371"/>
  <c r="D441"/>
  <c r="D438"/>
  <c r="D380"/>
  <c r="D476"/>
  <c r="D422"/>
  <c r="D394"/>
  <c r="D412"/>
  <c r="D424"/>
  <c r="D433"/>
  <c r="D426"/>
  <c r="D488"/>
  <c r="D392"/>
  <c r="D405"/>
  <c r="D452"/>
  <c r="D379"/>
  <c r="D413"/>
  <c r="D399"/>
  <c r="D427"/>
  <c r="D404"/>
  <c r="D420"/>
  <c r="D419"/>
  <c r="D416"/>
  <c r="D306"/>
  <c r="D294"/>
  <c r="D409"/>
  <c r="D584"/>
  <c r="D410"/>
  <c r="D224"/>
  <c r="D417"/>
  <c r="D346"/>
  <c r="D382"/>
  <c r="D338"/>
  <c r="D359"/>
  <c r="D457"/>
  <c r="D411"/>
  <c r="D389"/>
  <c r="D374"/>
  <c r="D436"/>
  <c r="D440"/>
  <c r="D390"/>
  <c r="D391"/>
  <c r="D376"/>
  <c r="D464"/>
  <c r="D406"/>
  <c r="D400"/>
  <c r="D361"/>
  <c r="D430"/>
  <c r="D386"/>
  <c r="D362"/>
  <c r="D384"/>
  <c r="D1550"/>
  <c r="D375"/>
  <c r="D393"/>
  <c r="D308"/>
  <c r="D395"/>
  <c r="D347"/>
  <c r="D378"/>
  <c r="D387"/>
  <c r="D355"/>
  <c r="D415"/>
  <c r="D396"/>
  <c r="D367"/>
  <c r="D366"/>
  <c r="D365"/>
  <c r="D341"/>
  <c r="D402"/>
  <c r="D337"/>
  <c r="D352"/>
  <c r="D342"/>
  <c r="D344"/>
  <c r="D273"/>
  <c r="D501"/>
  <c r="D364"/>
  <c r="D332"/>
  <c r="D311"/>
  <c r="D397"/>
  <c r="D246"/>
  <c r="D319"/>
  <c r="D385"/>
  <c r="D343"/>
  <c r="D358"/>
  <c r="D348"/>
  <c r="D373"/>
  <c r="D368"/>
  <c r="D333"/>
  <c r="D330"/>
  <c r="D369"/>
  <c r="D228"/>
  <c r="D217"/>
  <c r="D381"/>
  <c r="D335"/>
  <c r="D356"/>
  <c r="D321"/>
  <c r="D310"/>
  <c r="D353"/>
  <c r="D320"/>
  <c r="D317"/>
  <c r="D304"/>
  <c r="D363"/>
  <c r="D339"/>
  <c r="D326"/>
  <c r="D301"/>
  <c r="D328"/>
  <c r="D327"/>
  <c r="D349"/>
  <c r="D334"/>
  <c r="D357"/>
  <c r="D350"/>
  <c r="D325"/>
  <c r="D377"/>
  <c r="D233"/>
  <c r="D329"/>
  <c r="D303"/>
  <c r="D313"/>
  <c r="D318"/>
  <c r="D388"/>
  <c r="D297"/>
  <c r="D290"/>
  <c r="D300"/>
  <c r="D506"/>
  <c r="D314"/>
  <c r="D354"/>
  <c r="D278"/>
  <c r="D289"/>
  <c r="D291"/>
  <c r="D312"/>
  <c r="D309"/>
  <c r="D316"/>
  <c r="D345"/>
  <c r="D340"/>
  <c r="D296"/>
  <c r="D286"/>
  <c r="D302"/>
  <c r="D248"/>
  <c r="D496"/>
  <c r="D292"/>
  <c r="D323"/>
  <c r="D331"/>
  <c r="D360"/>
  <c r="D282"/>
  <c r="D298"/>
  <c r="D230"/>
  <c r="D271"/>
  <c r="D336"/>
  <c r="D322"/>
  <c r="D221"/>
  <c r="D277"/>
  <c r="D307"/>
  <c r="D275"/>
  <c r="D250"/>
  <c r="D251"/>
  <c r="D283"/>
  <c r="D225"/>
  <c r="D403"/>
  <c r="D398"/>
  <c r="D234"/>
  <c r="D264"/>
  <c r="D262"/>
  <c r="D281"/>
  <c r="D158"/>
  <c r="D272"/>
  <c r="D284"/>
  <c r="D252"/>
  <c r="D305"/>
  <c r="D280"/>
  <c r="D247"/>
  <c r="D276"/>
  <c r="D269"/>
  <c r="D238"/>
  <c r="D213"/>
  <c r="D299"/>
  <c r="D293"/>
  <c r="D285"/>
  <c r="D288"/>
  <c r="D195"/>
  <c r="D235"/>
  <c r="D268"/>
  <c r="D266"/>
  <c r="D216"/>
  <c r="D243"/>
  <c r="D263"/>
  <c r="D208"/>
  <c r="D223"/>
  <c r="D258"/>
  <c r="D261"/>
  <c r="D254"/>
  <c r="D255"/>
  <c r="D270"/>
  <c r="D232"/>
  <c r="D274"/>
  <c r="D259"/>
  <c r="D219"/>
  <c r="D256"/>
  <c r="D178"/>
  <c r="D260"/>
  <c r="D257"/>
  <c r="D279"/>
  <c r="D253"/>
  <c r="D239"/>
  <c r="D267"/>
  <c r="D242"/>
  <c r="D191"/>
  <c r="D236"/>
  <c r="D166"/>
  <c r="D222"/>
  <c r="D189"/>
  <c r="D241"/>
  <c r="D215"/>
  <c r="D249"/>
  <c r="D240"/>
  <c r="D220"/>
  <c r="D204"/>
  <c r="D245"/>
  <c r="D218"/>
  <c r="D265"/>
  <c r="D231"/>
  <c r="D187"/>
  <c r="D214"/>
  <c r="D237"/>
  <c r="D209"/>
  <c r="D210"/>
  <c r="D229"/>
  <c r="D201"/>
  <c r="D196"/>
  <c r="D111"/>
  <c r="D211"/>
  <c r="D97"/>
  <c r="D207"/>
  <c r="D205"/>
  <c r="D1549"/>
  <c r="D200"/>
  <c r="D161"/>
  <c r="D212"/>
  <c r="D203"/>
  <c r="D190"/>
  <c r="D226"/>
  <c r="D126"/>
  <c r="D133"/>
  <c r="D197"/>
  <c r="D155"/>
  <c r="D141"/>
  <c r="D182"/>
  <c r="D192"/>
  <c r="D202"/>
  <c r="D169"/>
  <c r="D188"/>
  <c r="D148"/>
  <c r="D199"/>
  <c r="D194"/>
  <c r="D168"/>
  <c r="D184"/>
  <c r="D177"/>
  <c r="D130"/>
  <c r="D181"/>
  <c r="D186"/>
  <c r="D170"/>
  <c r="D159"/>
  <c r="D175"/>
  <c r="D180"/>
  <c r="D165"/>
  <c r="D160"/>
  <c r="D183"/>
  <c r="D154"/>
  <c r="D81"/>
  <c r="D172"/>
  <c r="D206"/>
  <c r="D135"/>
  <c r="D152"/>
  <c r="D163"/>
  <c r="D179"/>
  <c r="D174"/>
  <c r="D193"/>
  <c r="D171"/>
  <c r="D156"/>
  <c r="D140"/>
  <c r="D173"/>
  <c r="D149"/>
  <c r="D167"/>
  <c r="D162"/>
  <c r="D138"/>
  <c r="D142"/>
  <c r="D153"/>
  <c r="D157"/>
  <c r="D144"/>
  <c r="D139"/>
  <c r="D120"/>
  <c r="D185"/>
  <c r="D147"/>
  <c r="D176"/>
  <c r="D121"/>
  <c r="D132"/>
  <c r="D125"/>
  <c r="D109"/>
  <c r="D146"/>
  <c r="D122"/>
  <c r="D119"/>
  <c r="D164"/>
  <c r="D131"/>
  <c r="D106"/>
  <c r="D65"/>
  <c r="D137"/>
  <c r="D128"/>
  <c r="D134"/>
  <c r="D124"/>
  <c r="D118"/>
  <c r="D117"/>
  <c r="D151"/>
  <c r="D90"/>
  <c r="D145"/>
  <c r="D127"/>
  <c r="D80"/>
  <c r="D123"/>
  <c r="D82"/>
  <c r="D113"/>
  <c r="D108"/>
  <c r="D101"/>
  <c r="D129"/>
  <c r="D116"/>
  <c r="D98"/>
  <c r="D86"/>
  <c r="D83"/>
  <c r="D115"/>
  <c r="D103"/>
  <c r="D110"/>
  <c r="D71"/>
  <c r="D227"/>
  <c r="D136"/>
  <c r="D88"/>
  <c r="D79"/>
  <c r="D92"/>
  <c r="D100"/>
  <c r="D143"/>
  <c r="D107"/>
  <c r="D112"/>
  <c r="D54"/>
  <c r="D114"/>
  <c r="D104"/>
  <c r="D150"/>
  <c r="D99"/>
  <c r="D91"/>
  <c r="D95"/>
  <c r="D76"/>
  <c r="D94"/>
  <c r="D96"/>
  <c r="D102"/>
  <c r="D93"/>
  <c r="D84"/>
  <c r="D87"/>
  <c r="D89"/>
  <c r="D77"/>
  <c r="D58"/>
  <c r="D67"/>
  <c r="D72"/>
  <c r="D69"/>
  <c r="D85"/>
  <c r="D68"/>
  <c r="D78"/>
  <c r="D57"/>
  <c r="D63"/>
  <c r="D70"/>
  <c r="D105"/>
  <c r="D52"/>
  <c r="D31"/>
  <c r="D60"/>
  <c r="D40"/>
  <c r="D73"/>
  <c r="D59"/>
  <c r="D62"/>
  <c r="D75"/>
  <c r="D61"/>
  <c r="D56"/>
  <c r="D53"/>
  <c r="D66"/>
  <c r="D64"/>
  <c r="D74"/>
  <c r="D46"/>
  <c r="D49"/>
  <c r="D48"/>
  <c r="D51"/>
  <c r="D47"/>
  <c r="D42"/>
  <c r="D50"/>
  <c r="D55"/>
  <c r="D33"/>
  <c r="D37"/>
  <c r="D38"/>
  <c r="D45"/>
  <c r="D44"/>
  <c r="D41"/>
  <c r="D30"/>
  <c r="D32"/>
  <c r="D34"/>
  <c r="D39"/>
  <c r="D26"/>
  <c r="D35"/>
  <c r="D43"/>
  <c r="D28"/>
  <c r="D27"/>
  <c r="D36"/>
  <c r="D29"/>
  <c r="D22"/>
  <c r="D25"/>
  <c r="D23"/>
  <c r="D21"/>
  <c r="D20"/>
  <c r="D24"/>
  <c r="D19"/>
  <c r="D18"/>
  <c r="D16"/>
  <c r="D15"/>
  <c r="D14"/>
  <c r="D13"/>
  <c r="D17"/>
  <c r="D11"/>
  <c r="D12"/>
  <c r="D10"/>
  <c r="D9"/>
  <c r="D7"/>
  <c r="D8"/>
  <c r="D6"/>
  <c r="D5"/>
  <c r="D4"/>
  <c r="D3"/>
  <c r="D2"/>
  <c r="A6" i="15"/>
  <c r="A5"/>
  <c r="A4"/>
  <c r="A3"/>
  <c r="J356" i="24" s="1"/>
  <c r="A2" i="15"/>
  <c r="J345" i="24"/>
  <c r="J341"/>
  <c r="J339"/>
  <c r="J335"/>
  <c r="J333"/>
  <c r="J329"/>
  <c r="J327"/>
  <c r="J323"/>
  <c r="J321"/>
  <c r="J317"/>
  <c r="J315"/>
  <c r="J310"/>
  <c r="J308"/>
  <c r="J304"/>
  <c r="J302"/>
  <c r="J297"/>
  <c r="J295"/>
  <c r="J291"/>
  <c r="J289"/>
  <c r="J285"/>
  <c r="J283"/>
  <c r="J279"/>
  <c r="J277"/>
  <c r="J273"/>
  <c r="J271"/>
  <c r="J267"/>
  <c r="J265"/>
  <c r="J261"/>
  <c r="J259"/>
  <c r="J255"/>
  <c r="J253"/>
  <c r="J249"/>
  <c r="J247"/>
  <c r="J242"/>
  <c r="J240"/>
  <c r="J236"/>
  <c r="J234"/>
  <c r="J230"/>
  <c r="J228"/>
  <c r="J224"/>
  <c r="J222"/>
  <c r="J218"/>
  <c r="J215"/>
  <c r="J211"/>
  <c r="J205"/>
  <c r="J201"/>
  <c r="J199"/>
  <c r="J195"/>
  <c r="J193"/>
  <c r="J189"/>
  <c r="J187"/>
  <c r="J183"/>
  <c r="J181"/>
  <c r="J177"/>
  <c r="J174"/>
  <c r="J167"/>
  <c r="J165"/>
  <c r="J161"/>
  <c r="J159"/>
  <c r="J155"/>
  <c r="J153"/>
  <c r="J149"/>
  <c r="J147"/>
  <c r="J143"/>
  <c r="J140"/>
  <c r="J136"/>
  <c r="J134"/>
  <c r="J130"/>
  <c r="J128"/>
  <c r="J124"/>
  <c r="J122"/>
  <c r="J118"/>
  <c r="J115"/>
  <c r="J111"/>
  <c r="J109"/>
  <c r="J104"/>
  <c r="J102"/>
  <c r="J98"/>
  <c r="J96"/>
  <c r="J91"/>
  <c r="J89"/>
  <c r="J85"/>
  <c r="J83"/>
  <c r="J78"/>
  <c r="J76"/>
  <c r="J72"/>
  <c r="J70"/>
  <c r="J66"/>
  <c r="J64"/>
  <c r="J60"/>
  <c r="J58"/>
  <c r="J53"/>
  <c r="J51"/>
  <c r="J46"/>
  <c r="J43"/>
  <c r="J39"/>
  <c r="J37"/>
  <c r="J32"/>
  <c r="J30"/>
  <c r="J26"/>
  <c r="J24"/>
  <c r="J20"/>
  <c r="J18"/>
  <c r="J14"/>
  <c r="J12"/>
  <c r="J8"/>
  <c r="J6"/>
  <c r="J2"/>
  <c r="J351" l="1"/>
  <c r="J358"/>
  <c r="J7"/>
  <c r="J13"/>
  <c r="J19"/>
  <c r="J25"/>
  <c r="J31"/>
  <c r="J38"/>
  <c r="J44"/>
  <c r="J52"/>
  <c r="J59"/>
  <c r="J65"/>
  <c r="J71"/>
  <c r="J77"/>
  <c r="J84"/>
  <c r="J90"/>
  <c r="J97"/>
  <c r="J103"/>
  <c r="J110"/>
  <c r="J116"/>
  <c r="J123"/>
  <c r="J129"/>
  <c r="J135"/>
  <c r="J142"/>
  <c r="J148"/>
  <c r="J154"/>
  <c r="J160"/>
  <c r="J166"/>
  <c r="J175"/>
  <c r="J182"/>
  <c r="J188"/>
  <c r="J194"/>
  <c r="J200"/>
  <c r="J206"/>
  <c r="J216"/>
  <c r="J223"/>
  <c r="J229"/>
  <c r="J235"/>
  <c r="J241"/>
  <c r="J248"/>
  <c r="J254"/>
  <c r="J260"/>
  <c r="J266"/>
  <c r="J272"/>
  <c r="J278"/>
  <c r="J284"/>
  <c r="J290"/>
  <c r="J296"/>
  <c r="J303"/>
  <c r="J309"/>
  <c r="J316"/>
  <c r="J322"/>
  <c r="J328"/>
  <c r="J334"/>
  <c r="J340"/>
  <c r="J346"/>
  <c r="J352"/>
  <c r="J357"/>
  <c r="J353"/>
  <c r="J3"/>
  <c r="J9"/>
  <c r="J15"/>
  <c r="J21"/>
  <c r="J27"/>
  <c r="J33"/>
  <c r="J40"/>
  <c r="J47"/>
  <c r="J54"/>
  <c r="J61"/>
  <c r="J67"/>
  <c r="J73"/>
  <c r="J79"/>
  <c r="J86"/>
  <c r="J92"/>
  <c r="J99"/>
  <c r="J106"/>
  <c r="J112"/>
  <c r="J119"/>
  <c r="J125"/>
  <c r="J131"/>
  <c r="J137"/>
  <c r="J144"/>
  <c r="J150"/>
  <c r="J156"/>
  <c r="J162"/>
  <c r="J168"/>
  <c r="J178"/>
  <c r="J184"/>
  <c r="J190"/>
  <c r="J196"/>
  <c r="J202"/>
  <c r="J212"/>
  <c r="J219"/>
  <c r="J225"/>
  <c r="J231"/>
  <c r="J237"/>
  <c r="J243"/>
  <c r="J250"/>
  <c r="J256"/>
  <c r="J262"/>
  <c r="J268"/>
  <c r="J274"/>
  <c r="J280"/>
  <c r="J286"/>
  <c r="J292"/>
  <c r="J299"/>
  <c r="J305"/>
  <c r="J311"/>
  <c r="J318"/>
  <c r="J324"/>
  <c r="J330"/>
  <c r="J336"/>
  <c r="J342"/>
  <c r="J348"/>
  <c r="J354"/>
  <c r="J4"/>
  <c r="J10"/>
  <c r="J16"/>
  <c r="J22"/>
  <c r="J28"/>
  <c r="J34"/>
  <c r="J41"/>
  <c r="J48"/>
  <c r="J55"/>
  <c r="J62"/>
  <c r="J68"/>
  <c r="J74"/>
  <c r="J80"/>
  <c r="J87"/>
  <c r="J93"/>
  <c r="J100"/>
  <c r="J107"/>
  <c r="J113"/>
  <c r="J120"/>
  <c r="J126"/>
  <c r="J132"/>
  <c r="J138"/>
  <c r="J145"/>
  <c r="J151"/>
  <c r="J157"/>
  <c r="J163"/>
  <c r="J170"/>
  <c r="J179"/>
  <c r="J185"/>
  <c r="J191"/>
  <c r="J197"/>
  <c r="J203"/>
  <c r="J213"/>
  <c r="J220"/>
  <c r="J226"/>
  <c r="J232"/>
  <c r="J238"/>
  <c r="J244"/>
  <c r="J251"/>
  <c r="J257"/>
  <c r="J263"/>
  <c r="J269"/>
  <c r="J275"/>
  <c r="J281"/>
  <c r="J287"/>
  <c r="J293"/>
  <c r="J300"/>
  <c r="J306"/>
  <c r="J313"/>
  <c r="J319"/>
  <c r="J325"/>
  <c r="J331"/>
  <c r="J337"/>
  <c r="J343"/>
  <c r="J349"/>
  <c r="J355"/>
  <c r="J347"/>
  <c r="J5"/>
  <c r="J11"/>
  <c r="J17"/>
  <c r="J23"/>
  <c r="J29"/>
  <c r="J35"/>
  <c r="J42"/>
  <c r="J49"/>
  <c r="J56"/>
  <c r="J63"/>
  <c r="J69"/>
  <c r="J75"/>
  <c r="J82"/>
  <c r="J88"/>
  <c r="J94"/>
  <c r="J101"/>
  <c r="J108"/>
  <c r="J114"/>
  <c r="J121"/>
  <c r="J127"/>
  <c r="J133"/>
  <c r="J139"/>
  <c r="J146"/>
  <c r="J152"/>
  <c r="J158"/>
  <c r="J164"/>
  <c r="J172"/>
  <c r="J180"/>
  <c r="J186"/>
  <c r="J192"/>
  <c r="J198"/>
  <c r="J204"/>
  <c r="J214"/>
  <c r="J221"/>
  <c r="J227"/>
  <c r="J233"/>
  <c r="J239"/>
  <c r="J246"/>
  <c r="J252"/>
  <c r="J258"/>
  <c r="J264"/>
  <c r="J270"/>
  <c r="J276"/>
  <c r="J282"/>
  <c r="J288"/>
  <c r="J294"/>
  <c r="J301"/>
  <c r="J307"/>
  <c r="J314"/>
  <c r="J320"/>
  <c r="J326"/>
  <c r="J332"/>
  <c r="J338"/>
  <c r="J344"/>
  <c r="J350"/>
  <c r="J46" i="8" l="1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B54" i="13" l="1"/>
  <c r="A54"/>
  <c r="B459"/>
  <c r="A459"/>
  <c r="B450"/>
  <c r="A450"/>
  <c r="B651"/>
  <c r="A651"/>
  <c r="B410"/>
  <c r="A410"/>
  <c r="B264"/>
  <c r="A264"/>
  <c r="B140"/>
  <c r="A140"/>
  <c r="B539"/>
  <c r="A539"/>
  <c r="B33"/>
  <c r="A33"/>
  <c r="B43"/>
  <c r="A43"/>
  <c r="B355"/>
  <c r="A355"/>
  <c r="B599"/>
  <c r="A599"/>
  <c r="B600"/>
  <c r="A600"/>
  <c r="B323"/>
  <c r="A323"/>
  <c r="B231"/>
  <c r="A231"/>
  <c r="B444"/>
  <c r="A444"/>
  <c r="B497"/>
  <c r="A497"/>
  <c r="B75"/>
  <c r="A75"/>
  <c r="B232"/>
  <c r="A232"/>
  <c r="B472"/>
  <c r="A472"/>
  <c r="B318"/>
  <c r="A318"/>
  <c r="B282"/>
  <c r="A282"/>
  <c r="N1" i="3" l="1"/>
  <c r="A3" i="23" l="1"/>
  <c r="V34" i="1" l="1"/>
  <c r="A6448" i="13" l="1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B6395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B5338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677"/>
  <c r="A677"/>
  <c r="N1420" i="19" l="1"/>
  <c r="N1414"/>
  <c r="N1210"/>
  <c r="N1191"/>
  <c r="N1102"/>
  <c r="N1016"/>
  <c r="N984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834" i="18" l="1"/>
  <c r="N1450" i="19" s="1"/>
  <c r="H1460" i="18"/>
  <c r="N1451" i="19" s="1"/>
  <c r="H1230" i="18"/>
  <c r="N1452" i="19" s="1"/>
  <c r="H835" i="18"/>
  <c r="N476" i="19" s="1"/>
  <c r="H836" i="18"/>
  <c r="N1453" i="19" s="1"/>
  <c r="H1231" i="18"/>
  <c r="N710" i="19" s="1"/>
  <c r="H837" i="18"/>
  <c r="N1454" i="19" s="1"/>
  <c r="H838" i="18"/>
  <c r="N91" i="19" s="1"/>
  <c r="H839" i="18"/>
  <c r="N328" i="19" s="1"/>
  <c r="H61" i="18"/>
  <c r="N1455" i="19" s="1"/>
  <c r="H62" i="18"/>
  <c r="N108" i="19" s="1"/>
  <c r="H1461" i="18"/>
  <c r="N1456" i="19" s="1"/>
  <c r="H1232" i="18"/>
  <c r="N1457" i="19" s="1"/>
  <c r="H188" i="18"/>
  <c r="N534" i="19" s="1"/>
  <c r="H840" i="18"/>
  <c r="N510" i="19" s="1"/>
  <c r="H1462" i="18"/>
  <c r="N1458" i="19" s="1"/>
  <c r="H841" i="18"/>
  <c r="N1459" i="19" s="1"/>
  <c r="H463" i="18"/>
  <c r="N277" i="19" s="1"/>
  <c r="H1233" i="18"/>
  <c r="N887" i="19" s="1"/>
  <c r="H464" i="18"/>
  <c r="N17" i="19" s="1"/>
  <c r="H189" i="18"/>
  <c r="N1460" i="19" s="1"/>
  <c r="H842" i="18"/>
  <c r="N211" i="19" s="1"/>
  <c r="H843" i="18"/>
  <c r="N711" i="19" s="1"/>
  <c r="H1463" i="18"/>
  <c r="N1461" i="19" s="1"/>
  <c r="H844" i="18"/>
  <c r="N1462" i="19" s="1"/>
  <c r="H465" i="18"/>
  <c r="N477" i="19" s="1"/>
  <c r="H11" i="18"/>
  <c r="N109" i="19" s="1"/>
  <c r="H1234" i="18"/>
  <c r="N678" i="19" s="1"/>
  <c r="H466" i="18"/>
  <c r="N1463" i="19" s="1"/>
  <c r="H1235" i="18"/>
  <c r="N679" i="19" s="1"/>
  <c r="H467" i="18"/>
  <c r="N680" i="19" s="1"/>
  <c r="H1236" i="18"/>
  <c r="N212" i="19" s="1"/>
  <c r="H63" i="18"/>
  <c r="N171" i="19" s="1"/>
  <c r="H190" i="18"/>
  <c r="N148" i="19" s="1"/>
  <c r="H1464" i="18"/>
  <c r="N1464" i="19" s="1"/>
  <c r="H191" i="18"/>
  <c r="N92" i="19" s="1"/>
  <c r="H64" i="18"/>
  <c r="N712" i="19" s="1"/>
  <c r="H65" i="18"/>
  <c r="N329" i="19" s="1"/>
  <c r="H845" i="18"/>
  <c r="N888" i="19" s="1"/>
  <c r="H468" i="18"/>
  <c r="N1465" i="19" s="1"/>
  <c r="H192" i="18"/>
  <c r="N397" i="19" s="1"/>
  <c r="H193" i="18"/>
  <c r="N236" i="19" s="1"/>
  <c r="H469" i="18"/>
  <c r="N713" i="19" s="1"/>
  <c r="H1237" i="18"/>
  <c r="N681" i="19" s="1"/>
  <c r="H1238" i="18"/>
  <c r="N1466" i="19" s="1"/>
  <c r="H1239" i="18"/>
  <c r="N1467" i="19" s="1"/>
  <c r="H470" i="18"/>
  <c r="N1468" i="19" s="1"/>
  <c r="H194" i="18"/>
  <c r="N1469" i="19" s="1"/>
  <c r="H471" i="18"/>
  <c r="N398" i="19" s="1"/>
  <c r="H472" i="18"/>
  <c r="N1470" i="19" s="1"/>
  <c r="H1240" i="18"/>
  <c r="N1471" i="19" s="1"/>
  <c r="H195" i="18"/>
  <c r="N714" i="19" s="1"/>
  <c r="H1241" i="18"/>
  <c r="N607" i="19" s="1"/>
  <c r="H1242" i="18"/>
  <c r="N97" i="19" s="1"/>
  <c r="H846" i="18"/>
  <c r="N110" i="19" s="1"/>
  <c r="H847" i="18"/>
  <c r="N889" i="19" s="1"/>
  <c r="H473" i="18"/>
  <c r="N682" i="19" s="1"/>
  <c r="H66" i="18"/>
  <c r="N399" i="19" s="1"/>
  <c r="H848" i="18"/>
  <c r="N1472" i="19" s="1"/>
  <c r="H196" i="18"/>
  <c r="N1473" i="19" s="1"/>
  <c r="H849" i="18"/>
  <c r="N715" i="19" s="1"/>
  <c r="H850" i="18"/>
  <c r="N890" i="19" s="1"/>
  <c r="H474" i="18"/>
  <c r="N213" i="19" s="1"/>
  <c r="H475" i="18"/>
  <c r="N1474" i="19" s="1"/>
  <c r="H476" i="18"/>
  <c r="N1475" i="19" s="1"/>
  <c r="H197" i="18"/>
  <c r="N478" i="19" s="1"/>
  <c r="H851" i="18"/>
  <c r="N891" i="19" s="1"/>
  <c r="H1243" i="18"/>
  <c r="N683" i="19" s="1"/>
  <c r="H477" i="18"/>
  <c r="N121" i="19" s="1"/>
  <c r="H1465" i="18"/>
  <c r="N1476" i="19" s="1"/>
  <c r="H1244" i="18"/>
  <c r="N1477" i="19" s="1"/>
  <c r="H1245" i="18"/>
  <c r="N400" i="19" s="1"/>
  <c r="H852" i="18"/>
  <c r="N1478" i="19" s="1"/>
  <c r="H12" i="18"/>
  <c r="N238" i="19" s="1"/>
  <c r="H478" i="18"/>
  <c r="N214" i="19" s="1"/>
  <c r="H198" i="18"/>
  <c r="N1479" i="19" s="1"/>
  <c r="H1466" i="18"/>
  <c r="N1480" i="19" s="1"/>
  <c r="H853" i="18"/>
  <c r="N215" i="19" s="1"/>
  <c r="H479" i="18"/>
  <c r="N282" i="19" s="1"/>
  <c r="H480" i="18"/>
  <c r="N479" i="19" s="1"/>
  <c r="H854" i="18"/>
  <c r="N172" i="19" s="1"/>
  <c r="H199" i="18"/>
  <c r="N1481" i="19" s="1"/>
  <c r="H855" i="18"/>
  <c r="N1482" i="19" s="1"/>
  <c r="H856" i="18"/>
  <c r="N480" i="19" s="1"/>
  <c r="H481" i="18"/>
  <c r="N1483" i="19" s="1"/>
  <c r="H1246" i="18"/>
  <c r="N1484" i="19" s="1"/>
  <c r="H482" i="18"/>
  <c r="N1485" i="19" s="1"/>
  <c r="H483" i="18"/>
  <c r="N1486" i="19" s="1"/>
  <c r="H1467" i="18"/>
  <c r="N1487" i="19" s="1"/>
  <c r="H200" i="18"/>
  <c r="N135" i="19" s="1"/>
  <c r="H484" i="18"/>
  <c r="N716" i="19" s="1"/>
  <c r="H857" i="18"/>
  <c r="N1488" i="19" s="1"/>
  <c r="H485" i="18"/>
  <c r="N1489" i="19" s="1"/>
  <c r="H1468" i="18"/>
  <c r="N1490" i="19" s="1"/>
  <c r="H486" i="18"/>
  <c r="N684" i="19" s="1"/>
  <c r="H858" i="18"/>
  <c r="N685" i="19" s="1"/>
  <c r="H201" i="18"/>
  <c r="N943" i="19" s="1"/>
  <c r="H859" i="18"/>
  <c r="N481" i="19" s="1"/>
  <c r="H487" i="18"/>
  <c r="N1491" i="19" s="1"/>
  <c r="H488" i="18"/>
  <c r="N20" i="19" s="1"/>
  <c r="H202" i="18"/>
  <c r="N944" i="19" s="1"/>
  <c r="H489" i="18"/>
  <c r="N112" i="19" s="1"/>
  <c r="H860" i="18"/>
  <c r="N1492" i="19" s="1"/>
  <c r="H490" i="18"/>
  <c r="N87" i="19" s="1"/>
  <c r="H491" i="18"/>
  <c r="N892" i="19" s="1"/>
  <c r="H861" i="18"/>
  <c r="N1493" i="19" s="1"/>
  <c r="H1469" i="18"/>
  <c r="N893" i="19" s="1"/>
  <c r="H862" i="18"/>
  <c r="N1494" i="19" s="1"/>
  <c r="H1247" i="18"/>
  <c r="N1495" i="19" s="1"/>
  <c r="H863" i="18"/>
  <c r="N1496" i="19" s="1"/>
  <c r="H203" i="18"/>
  <c r="N216" i="19" s="1"/>
  <c r="H1248" i="18"/>
  <c r="N337" i="19" s="1"/>
  <c r="H864" i="18"/>
  <c r="N482" i="19" s="1"/>
  <c r="H492" i="18"/>
  <c r="N1497" i="19" s="1"/>
  <c r="H1249" i="18"/>
  <c r="N1498" i="19" s="1"/>
  <c r="H493" i="18"/>
  <c r="N894" i="19" s="1"/>
  <c r="H865" i="18"/>
  <c r="N686" i="19" s="1"/>
  <c r="H866" i="18"/>
  <c r="N288" i="19" s="1"/>
  <c r="H1250" i="18"/>
  <c r="N46" i="19" s="1"/>
  <c r="H1251" i="18"/>
  <c r="N1499" i="19" s="1"/>
  <c r="H867" i="18"/>
  <c r="N1500" i="19" s="1"/>
  <c r="H494" i="18"/>
  <c r="N330" i="19" s="1"/>
  <c r="H868" i="18"/>
  <c r="N1501" i="19" s="1"/>
  <c r="H204" i="18"/>
  <c r="N1502" i="19" s="1"/>
  <c r="H495" i="18"/>
  <c r="N173" i="19" s="1"/>
  <c r="H496" i="18"/>
  <c r="N1503" i="19" s="1"/>
  <c r="H205" i="18"/>
  <c r="N483" i="19" s="1"/>
  <c r="H497" i="18"/>
  <c r="N401" i="19" s="1"/>
  <c r="H498" i="18"/>
  <c r="N895" i="19" s="1"/>
  <c r="H1470" i="18"/>
  <c r="N1504" i="19" s="1"/>
  <c r="H499" i="18"/>
  <c r="N35" i="19" s="1"/>
  <c r="H869" i="18"/>
  <c r="N896" i="19" s="1"/>
  <c r="H870" i="18"/>
  <c r="N1505" i="19" s="1"/>
  <c r="H500" i="18"/>
  <c r="N1506" i="19" s="1"/>
  <c r="H1252" i="18"/>
  <c r="N589" i="19" s="1"/>
  <c r="H501" i="18"/>
  <c r="N14" i="19" s="1"/>
  <c r="H206" i="18"/>
  <c r="N284" i="19" s="1"/>
  <c r="H67" i="18"/>
  <c r="N289" i="19" s="1"/>
  <c r="H1253" i="18"/>
  <c r="N1507" i="19" s="1"/>
  <c r="H871" i="18"/>
  <c r="N1508" i="19" s="1"/>
  <c r="H1254" i="18"/>
  <c r="N433" i="19" s="1"/>
  <c r="H1471" i="18"/>
  <c r="N1509" i="19" s="1"/>
  <c r="H502" i="18"/>
  <c r="N1510" i="19" s="1"/>
  <c r="H872" i="18"/>
  <c r="N402" i="19" s="1"/>
  <c r="H503" i="18"/>
  <c r="N969" i="19" s="1"/>
  <c r="H1255" i="18"/>
  <c r="N1511" i="19" s="1"/>
  <c r="H504" i="18"/>
  <c r="N1512" i="19" s="1"/>
  <c r="H505" i="18"/>
  <c r="N44" i="19" s="1"/>
  <c r="H506" i="18"/>
  <c r="N779" i="19" s="1"/>
  <c r="H507" i="18"/>
  <c r="N153" i="19" s="1"/>
  <c r="H1256" i="18"/>
  <c r="N897" i="19" s="1"/>
  <c r="H508" i="18"/>
  <c r="N217" i="19" s="1"/>
  <c r="H207" i="18"/>
  <c r="N1513" i="19" s="1"/>
  <c r="H873" i="18"/>
  <c r="N413" i="19" s="1"/>
  <c r="H509" i="18"/>
  <c r="N717" i="19" s="1"/>
  <c r="H874" i="18"/>
  <c r="N1514" i="19" s="1"/>
  <c r="H510" i="18"/>
  <c r="N1515" i="19" s="1"/>
  <c r="H875" i="18"/>
  <c r="N403" i="19" s="1"/>
  <c r="H208" i="18"/>
  <c r="N718" i="19" s="1"/>
  <c r="H511" i="18"/>
  <c r="N1516" i="19" s="1"/>
  <c r="H512" i="18"/>
  <c r="N1517" i="19" s="1"/>
  <c r="H209" i="18"/>
  <c r="N141" i="19" s="1"/>
  <c r="H1472" i="18"/>
  <c r="N780" i="19" s="1"/>
  <c r="H876" i="18"/>
  <c r="N1170" i="19" s="1"/>
  <c r="H513" i="18"/>
  <c r="N555" i="19" s="1"/>
  <c r="H514" i="18"/>
  <c r="N687" i="19" s="1"/>
  <c r="H877" i="18"/>
  <c r="N1518" i="19" s="1"/>
  <c r="H878" i="18"/>
  <c r="N1171" i="19" s="1"/>
  <c r="H879" i="18"/>
  <c r="N23" i="19" s="1"/>
  <c r="H515" i="18"/>
  <c r="N556" i="19" s="1"/>
  <c r="H880" i="18"/>
  <c r="N1172" i="19" s="1"/>
  <c r="H1257" i="18"/>
  <c r="N190" i="19" s="1"/>
  <c r="H881" i="18"/>
  <c r="N1173" i="19" s="1"/>
  <c r="H516" i="18"/>
  <c r="N152" i="19" s="1"/>
  <c r="H1258" i="18"/>
  <c r="N1174" i="19" s="1"/>
  <c r="H517" i="18"/>
  <c r="N596" i="19" s="1"/>
  <c r="H882" i="18"/>
  <c r="N1175" i="19" s="1"/>
  <c r="H518" i="18"/>
  <c r="N1176" i="19" s="1"/>
  <c r="H1259" i="18"/>
  <c r="N1177" i="19" s="1"/>
  <c r="H883" i="18"/>
  <c r="N974" i="19" s="1"/>
  <c r="H210" i="18"/>
  <c r="N1178" i="19" s="1"/>
  <c r="H519" i="18"/>
  <c r="N224" i="19" s="1"/>
  <c r="H884" i="18"/>
  <c r="N557" i="19" s="1"/>
  <c r="H1260" i="18"/>
  <c r="N1179" i="19" s="1"/>
  <c r="H1261" i="18"/>
  <c r="N1180" i="19" s="1"/>
  <c r="H885" i="18"/>
  <c r="N1181" i="19" s="1"/>
  <c r="H1262" i="18"/>
  <c r="N745" i="19" s="1"/>
  <c r="H1263" i="18"/>
  <c r="N1182" i="19" s="1"/>
  <c r="H1264" i="18"/>
  <c r="N279" i="19" s="1"/>
  <c r="H886" i="18"/>
  <c r="N1183" i="19" s="1"/>
  <c r="H887" i="18"/>
  <c r="N1184" i="19" s="1"/>
  <c r="H888" i="18"/>
  <c r="N28" i="19" s="1"/>
  <c r="H889" i="18"/>
  <c r="N1185" i="19" s="1"/>
  <c r="H211" i="18"/>
  <c r="N1186" i="19" s="1"/>
  <c r="H212" i="18"/>
  <c r="N126" i="19" s="1"/>
  <c r="H1265" i="18"/>
  <c r="N914" i="19" s="1"/>
  <c r="H890" i="18"/>
  <c r="N698" i="19" s="1"/>
  <c r="H1473" i="18"/>
  <c r="N1187" i="19" s="1"/>
  <c r="H213" i="18"/>
  <c r="N333" i="19" s="1"/>
  <c r="H1474" i="18"/>
  <c r="N915" i="19" s="1"/>
  <c r="H891" i="18"/>
  <c r="N144" i="19" s="1"/>
  <c r="H892" i="18"/>
  <c r="N1188" i="19" s="1"/>
  <c r="H1266" i="18"/>
  <c r="N1189" i="19" s="1"/>
  <c r="H214" i="18"/>
  <c r="N3" i="19" s="1"/>
  <c r="H1267" i="18"/>
  <c r="N1190" i="19" s="1"/>
  <c r="H1475" i="18"/>
  <c r="N1192" i="19" s="1"/>
  <c r="H520" i="18"/>
  <c r="N253" i="19" s="1"/>
  <c r="H1268" i="18"/>
  <c r="N1193" i="19" s="1"/>
  <c r="H1269" i="18"/>
  <c r="N791" i="19" s="1"/>
  <c r="H215" i="18"/>
  <c r="N34" i="19" s="1"/>
  <c r="H521" i="18"/>
  <c r="N639" i="19" s="1"/>
  <c r="H893" i="18"/>
  <c r="N955" i="19" s="1"/>
  <c r="H522" i="18"/>
  <c r="N219" i="19" s="1"/>
  <c r="H894" i="18"/>
  <c r="N1194" i="19" s="1"/>
  <c r="H523" i="18"/>
  <c r="N1195" i="19" s="1"/>
  <c r="H524" i="18"/>
  <c r="N1196" i="19" s="1"/>
  <c r="H13" i="18"/>
  <c r="N150" i="19" s="1"/>
  <c r="H895" i="18"/>
  <c r="N699" i="19" s="1"/>
  <c r="H525" i="18"/>
  <c r="N916" i="19" s="1"/>
  <c r="H896" i="18"/>
  <c r="N1197" i="19" s="1"/>
  <c r="H897" i="18"/>
  <c r="N833" i="19" s="1"/>
  <c r="H1270" i="18"/>
  <c r="N376" i="19" s="1"/>
  <c r="H898" i="18"/>
  <c r="N344" i="19" s="1"/>
  <c r="H216" i="18"/>
  <c r="N1198" i="19" s="1"/>
  <c r="H526" i="18"/>
  <c r="N1199" i="19" s="1"/>
  <c r="H899" i="18"/>
  <c r="N558" i="19" s="1"/>
  <c r="H1271" i="18"/>
  <c r="N834" i="19" s="1"/>
  <c r="H217" i="18"/>
  <c r="N835" i="19" s="1"/>
  <c r="H218" i="18"/>
  <c r="N406" i="19" s="1"/>
  <c r="H68" i="18"/>
  <c r="N377" i="19" s="1"/>
  <c r="H900" i="18"/>
  <c r="N730" i="19" s="1"/>
  <c r="H219" i="18"/>
  <c r="N1200" i="19" s="1"/>
  <c r="H220" i="18"/>
  <c r="N640" i="19" s="1"/>
  <c r="H1272" i="18"/>
  <c r="N792" i="19" s="1"/>
  <c r="H901" i="18"/>
  <c r="N359" i="19" s="1"/>
  <c r="H902" i="18"/>
  <c r="N300" i="19" s="1"/>
  <c r="H1476" i="18"/>
  <c r="N139" i="19" s="1"/>
  <c r="H221" i="18"/>
  <c r="N235" i="19" s="1"/>
  <c r="H1273" i="18"/>
  <c r="N1201" i="19" s="1"/>
  <c r="H222" i="18"/>
  <c r="N450" i="19" s="1"/>
  <c r="H527" i="18"/>
  <c r="N793" i="19" s="1"/>
  <c r="H903" i="18"/>
  <c r="N1202" i="19" s="1"/>
  <c r="H904" i="18"/>
  <c r="N917" i="19" s="1"/>
  <c r="H905" i="18"/>
  <c r="N1203" i="19" s="1"/>
  <c r="H528" i="18"/>
  <c r="N500" i="19" s="1"/>
  <c r="H529" i="18"/>
  <c r="N517" i="19" s="1"/>
  <c r="H530" i="18"/>
  <c r="N225" i="19" s="1"/>
  <c r="H1477" i="18"/>
  <c r="N1204" i="19" s="1"/>
  <c r="H531" i="18"/>
  <c r="N1205" i="19" s="1"/>
  <c r="H223" i="18"/>
  <c r="N1206" i="19" s="1"/>
  <c r="H906" i="18"/>
  <c r="N918" i="19" s="1"/>
  <c r="H907" i="18"/>
  <c r="N7" i="19" s="1"/>
  <c r="H532" i="18"/>
  <c r="N407" i="19" s="1"/>
  <c r="H69" i="18"/>
  <c r="N199" i="19" s="1"/>
  <c r="H533" i="18"/>
  <c r="N418" i="19" s="1"/>
  <c r="H1274" i="18"/>
  <c r="N700" i="19" s="1"/>
  <c r="H1275" i="18"/>
  <c r="N1207" i="19" s="1"/>
  <c r="H1478" i="18"/>
  <c r="N530" i="19" s="1"/>
  <c r="H70" i="18"/>
  <c r="N559" i="19" s="1"/>
  <c r="H908" i="18"/>
  <c r="N701" i="19" s="1"/>
  <c r="H534" i="18"/>
  <c r="N597" i="19" s="1"/>
  <c r="H909" i="18"/>
  <c r="N164" i="19" s="1"/>
  <c r="H535" i="18"/>
  <c r="N119" i="19" s="1"/>
  <c r="H224" i="18"/>
  <c r="N1208" i="19" s="1"/>
  <c r="H225" i="18"/>
  <c r="N1209" i="19" s="1"/>
  <c r="H536" i="18"/>
  <c r="N919" i="19" s="1"/>
  <c r="H537" i="18"/>
  <c r="N641" i="19" s="1"/>
  <c r="H1276" i="18"/>
  <c r="N1211" i="19" s="1"/>
  <c r="H910" i="18"/>
  <c r="N254" i="19" s="1"/>
  <c r="H71" i="18"/>
  <c r="N184" i="19" s="1"/>
  <c r="H226" i="18"/>
  <c r="N746" i="19" s="1"/>
  <c r="H1277" i="18"/>
  <c r="N200" i="19" s="1"/>
  <c r="H1479" i="18"/>
  <c r="N1212" i="19" s="1"/>
  <c r="H538" i="18"/>
  <c r="N127" i="19" s="1"/>
  <c r="H539" i="18"/>
  <c r="N975" i="19" s="1"/>
  <c r="H540" i="18"/>
  <c r="N920" i="19" s="1"/>
  <c r="H227" i="18"/>
  <c r="N794" i="19" s="1"/>
  <c r="H14" i="18"/>
  <c r="N255" i="19" s="1"/>
  <c r="H1278" i="18"/>
  <c r="N165" i="19" s="1"/>
  <c r="H911" i="18"/>
  <c r="N1213" i="19" s="1"/>
  <c r="H1279" i="18"/>
  <c r="N1214" i="19" s="1"/>
  <c r="H912" i="18"/>
  <c r="N1215" i="19" s="1"/>
  <c r="H913" i="18"/>
  <c r="N1216" i="19" s="1"/>
  <c r="H228" i="18"/>
  <c r="N73" i="19" s="1"/>
  <c r="H72" i="18"/>
  <c r="N1217" i="19" s="1"/>
  <c r="H541" i="18"/>
  <c r="N128" i="19" s="1"/>
  <c r="H1280" i="18"/>
  <c r="N1218" i="19" s="1"/>
  <c r="H914" i="18"/>
  <c r="N1219" i="19" s="1"/>
  <c r="H915" i="18"/>
  <c r="N166" i="19" s="1"/>
  <c r="H916" i="18"/>
  <c r="N921" i="19" s="1"/>
  <c r="H542" i="18"/>
  <c r="N836" i="19" s="1"/>
  <c r="H917" i="18"/>
  <c r="N96" i="19" s="1"/>
  <c r="H1281" i="18"/>
  <c r="N201" i="19" s="1"/>
  <c r="H543" i="18"/>
  <c r="N256" i="19" s="1"/>
  <c r="H229" i="18"/>
  <c r="N1220" i="19" s="1"/>
  <c r="H918" i="18"/>
  <c r="N280" i="19" s="1"/>
  <c r="H919" i="18"/>
  <c r="N1221" i="19" s="1"/>
  <c r="H230" i="18"/>
  <c r="N301" i="19" s="1"/>
  <c r="H544" i="18"/>
  <c r="N49" i="19" s="1"/>
  <c r="H231" i="18"/>
  <c r="N302" i="19" s="1"/>
  <c r="H920" i="18"/>
  <c r="N77" i="19" s="1"/>
  <c r="H232" i="18"/>
  <c r="N180" i="19" s="1"/>
  <c r="H233" i="18"/>
  <c r="N443" i="19" s="1"/>
  <c r="H921" i="18"/>
  <c r="N297" i="19" s="1"/>
  <c r="H234" i="18"/>
  <c r="N257" i="19" s="1"/>
  <c r="H922" i="18"/>
  <c r="N303" i="19" s="1"/>
  <c r="H545" i="18"/>
  <c r="N702" i="19" s="1"/>
  <c r="H546" i="18"/>
  <c r="N825" i="19" s="1"/>
  <c r="H923" i="18"/>
  <c r="N494" i="19" s="1"/>
  <c r="H547" i="18"/>
  <c r="N1118" i="19" s="1"/>
  <c r="H548" i="18"/>
  <c r="N273" i="19" s="1"/>
  <c r="H924" i="18"/>
  <c r="N694" i="19" s="1"/>
  <c r="H1282" i="18"/>
  <c r="N635" i="19" s="1"/>
  <c r="H235" i="18"/>
  <c r="N1119" i="19" s="1"/>
  <c r="H925" i="18"/>
  <c r="N1120" i="19" s="1"/>
  <c r="H549" i="18"/>
  <c r="N374" i="19" s="1"/>
  <c r="H1480" i="18"/>
  <c r="N1121" i="19" s="1"/>
  <c r="H73" i="18"/>
  <c r="N95" i="19" s="1"/>
  <c r="H550" i="18"/>
  <c r="N636" i="19" s="1"/>
  <c r="H926" i="18"/>
  <c r="N1122" i="19" s="1"/>
  <c r="H551" i="18"/>
  <c r="N826" i="19" s="1"/>
  <c r="H927" i="18"/>
  <c r="N197" i="19" s="1"/>
  <c r="H1283" i="18"/>
  <c r="N1123" i="19" s="1"/>
  <c r="H236" i="18"/>
  <c r="N444" i="19" s="1"/>
  <c r="H237" i="18"/>
  <c r="N79" i="19" s="1"/>
  <c r="H238" i="18"/>
  <c r="N1124" i="19" s="1"/>
  <c r="H552" i="18"/>
  <c r="N495" i="19" s="1"/>
  <c r="H553" i="18"/>
  <c r="N298" i="19" s="1"/>
  <c r="H1284" i="18"/>
  <c r="N1125" i="19" s="1"/>
  <c r="H15" i="18"/>
  <c r="N63" i="19" s="1"/>
  <c r="H928" i="18"/>
  <c r="N1126" i="19" s="1"/>
  <c r="H929" i="18"/>
  <c r="N908" i="19" s="1"/>
  <c r="H1481" i="18"/>
  <c r="N1127" i="19" s="1"/>
  <c r="H554" i="18"/>
  <c r="N695" i="19" s="1"/>
  <c r="H555" i="18"/>
  <c r="N142" i="19" s="1"/>
  <c r="H556" i="18"/>
  <c r="N120" i="19" s="1"/>
  <c r="H16" i="18"/>
  <c r="N161" i="19" s="1"/>
  <c r="H1285" i="18"/>
  <c r="N1128" i="19" s="1"/>
  <c r="H17" i="18"/>
  <c r="N22" i="19" s="1"/>
  <c r="H930" i="18"/>
  <c r="N445" i="19" s="1"/>
  <c r="H931" i="18"/>
  <c r="N1129" i="19" s="1"/>
  <c r="H239" i="18"/>
  <c r="N138" i="19" s="1"/>
  <c r="H240" i="18"/>
  <c r="N446" i="19" s="1"/>
  <c r="H932" i="18"/>
  <c r="N30" i="19" s="1"/>
  <c r="H241" i="18"/>
  <c r="N103" i="19" s="1"/>
  <c r="H242" i="18"/>
  <c r="N47" i="19" s="1"/>
  <c r="H1286" i="18"/>
  <c r="N1130" i="19" s="1"/>
  <c r="H1482" i="18"/>
  <c r="N1131" i="19" s="1"/>
  <c r="H933" i="18"/>
  <c r="N1132" i="19" s="1"/>
  <c r="H243" i="18"/>
  <c r="N1133" i="19" s="1"/>
  <c r="H1287" i="18"/>
  <c r="N788" i="19" s="1"/>
  <c r="H244" i="18"/>
  <c r="N252" i="19" s="1"/>
  <c r="H934" i="18"/>
  <c r="N1134" i="19" s="1"/>
  <c r="H935" i="18"/>
  <c r="N1135" i="19" s="1"/>
  <c r="H245" i="18"/>
  <c r="N338" i="19" s="1"/>
  <c r="H1288" i="18"/>
  <c r="N1136" i="19" s="1"/>
  <c r="H557" i="18"/>
  <c r="N31" i="19" s="1"/>
  <c r="H936" i="18"/>
  <c r="N827" i="19" s="1"/>
  <c r="H937" i="18"/>
  <c r="N743" i="19" s="1"/>
  <c r="H1289" i="18"/>
  <c r="N1137" i="19" s="1"/>
  <c r="H558" i="18"/>
  <c r="N1138" i="19" s="1"/>
  <c r="H1290" i="18"/>
  <c r="N1139" i="19" s="1"/>
  <c r="H246" i="18"/>
  <c r="N1140" i="19" s="1"/>
  <c r="H559" i="18"/>
  <c r="N1141" i="19" s="1"/>
  <c r="H1291" i="18"/>
  <c r="N447" i="19" s="1"/>
  <c r="H74" i="18"/>
  <c r="N1142" i="19" s="1"/>
  <c r="H1292" i="18"/>
  <c r="N516" i="19" s="1"/>
  <c r="H1483" i="18"/>
  <c r="N1143" i="19" s="1"/>
  <c r="H247" i="18"/>
  <c r="N909" i="19" s="1"/>
  <c r="H938" i="18"/>
  <c r="N1144" i="19" s="1"/>
  <c r="H1293" i="18"/>
  <c r="N496" i="19" s="1"/>
  <c r="H560" i="18"/>
  <c r="N735" i="19" s="1"/>
  <c r="H1294" i="18"/>
  <c r="N375" i="19" s="1"/>
  <c r="H1295" i="18"/>
  <c r="H1484"/>
  <c r="N1145" i="19" s="1"/>
  <c r="H1485" i="18"/>
  <c r="N910" i="19" s="1"/>
  <c r="H939" i="18"/>
  <c r="N48" i="19" s="1"/>
  <c r="H75" i="18"/>
  <c r="N68" i="19" s="1"/>
  <c r="H940" i="18"/>
  <c r="N1519" i="19" s="1"/>
  <c r="H941" i="18"/>
  <c r="N747" i="19" s="1"/>
  <c r="H942" i="18"/>
  <c r="N258" i="19" s="1"/>
  <c r="H1296" i="18"/>
  <c r="N560" i="19" s="1"/>
  <c r="H1297" i="18"/>
  <c r="N726" i="19" s="1"/>
  <c r="H561" i="18"/>
  <c r="N218" i="19" s="1"/>
  <c r="H943" i="18"/>
  <c r="N945" i="19" s="1"/>
  <c r="H562" i="18"/>
  <c r="N911" i="19" s="1"/>
  <c r="H563" i="18"/>
  <c r="N162" i="19" s="1"/>
  <c r="H248" i="18"/>
  <c r="N595" i="19" s="1"/>
  <c r="H564" i="18"/>
  <c r="N497" i="19" s="1"/>
  <c r="H249" i="18"/>
  <c r="N175" i="19" s="1"/>
  <c r="H565" i="18"/>
  <c r="N1146" i="19" s="1"/>
  <c r="H1298" i="18"/>
  <c r="N789" i="19" s="1"/>
  <c r="H1486" i="18"/>
  <c r="N1147" i="19" s="1"/>
  <c r="H1487" i="18"/>
  <c r="N637" i="19" s="1"/>
  <c r="H1299" i="18"/>
  <c r="N736" i="19" s="1"/>
  <c r="H944" i="18"/>
  <c r="N1148" i="19" s="1"/>
  <c r="H945" i="18"/>
  <c r="N1149" i="19" s="1"/>
  <c r="H946" i="18"/>
  <c r="N1150" i="19" s="1"/>
  <c r="H1300" i="18"/>
  <c r="N828" i="19" s="1"/>
  <c r="H1301" i="18"/>
  <c r="N448" i="19" s="1"/>
  <c r="H250" i="18"/>
  <c r="N8" i="19" s="1"/>
  <c r="H1302" i="18"/>
  <c r="N1151" i="19" s="1"/>
  <c r="H566" i="18"/>
  <c r="N1152" i="19" s="1"/>
  <c r="H567" i="18"/>
  <c r="N744" i="19" s="1"/>
  <c r="H1303" i="18"/>
  <c r="N1153" i="19" s="1"/>
  <c r="H568" i="18"/>
  <c r="N498" i="19" s="1"/>
  <c r="H251" i="18"/>
  <c r="N1154" i="19" s="1"/>
  <c r="H947" i="18"/>
  <c r="N829" i="19" s="1"/>
  <c r="H948" i="18"/>
  <c r="N1155" i="19" s="1"/>
  <c r="H949" i="18"/>
  <c r="N163" i="19" s="1"/>
  <c r="H569" i="18"/>
  <c r="N198" i="19" s="1"/>
  <c r="H950" i="18"/>
  <c r="N1156" i="19" s="1"/>
  <c r="H951" i="18"/>
  <c r="N274" i="19" s="1"/>
  <c r="H1304" i="18"/>
  <c r="N1157" i="19" s="1"/>
  <c r="H1488" i="18"/>
  <c r="N1158" i="19" s="1"/>
  <c r="H1305" i="18"/>
  <c r="N499" i="19" s="1"/>
  <c r="H1489" i="18"/>
  <c r="N912" i="19" s="1"/>
  <c r="H1490" i="18"/>
  <c r="N913" i="19" s="1"/>
  <c r="H1306" i="18"/>
  <c r="N1159" i="19" s="1"/>
  <c r="H1307" i="18"/>
  <c r="N1160" i="19" s="1"/>
  <c r="H1308" i="18"/>
  <c r="N1161" i="19" s="1"/>
  <c r="H952" i="18"/>
  <c r="N638" i="19" s="1"/>
  <c r="H570" i="18"/>
  <c r="N696" i="19" s="1"/>
  <c r="H1491" i="18"/>
  <c r="N1162" i="19" s="1"/>
  <c r="H1309" i="18"/>
  <c r="N428" i="19" s="1"/>
  <c r="H1492" i="18"/>
  <c r="N1073" i="19" s="1"/>
  <c r="H1310" i="18"/>
  <c r="N427" i="19" s="1"/>
  <c r="H1493" i="18"/>
  <c r="N1074" i="19" s="1"/>
  <c r="H953" i="18"/>
  <c r="N364" i="19" s="1"/>
  <c r="H1311" i="18"/>
  <c r="N1075" i="19" s="1"/>
  <c r="H1312" i="18"/>
  <c r="N837" i="19" s="1"/>
  <c r="H954" i="18"/>
  <c r="N535" i="19" s="1"/>
  <c r="H955" i="18"/>
  <c r="N451" i="19" s="1"/>
  <c r="H1313" i="18"/>
  <c r="N697" i="19" s="1"/>
  <c r="H252" i="18"/>
  <c r="N790" i="19" s="1"/>
  <c r="H956" i="18"/>
  <c r="N299" i="19" s="1"/>
  <c r="H1314" i="18"/>
  <c r="N729" i="19" s="1"/>
  <c r="H253" i="18"/>
  <c r="N429" i="19" s="1"/>
  <c r="H957" i="18"/>
  <c r="N950" i="19" s="1"/>
  <c r="H1315" i="18"/>
  <c r="N830" i="19" s="1"/>
  <c r="H958" i="18"/>
  <c r="N1163" i="19" s="1"/>
  <c r="H1316" i="18"/>
  <c r="N1164" i="19" s="1"/>
  <c r="H1317" i="18"/>
  <c r="N449" i="19" s="1"/>
  <c r="H254" i="18"/>
  <c r="N143" i="19" s="1"/>
  <c r="H255" i="18"/>
  <c r="N537" i="19" s="1"/>
  <c r="H1318" i="18"/>
  <c r="N233" i="19" s="1"/>
  <c r="H571" i="18"/>
  <c r="N422" i="19" s="1"/>
  <c r="H959" i="18"/>
  <c r="N113" i="19" s="1"/>
  <c r="H256" i="18"/>
  <c r="N12" i="19" s="1"/>
  <c r="H960" i="18"/>
  <c r="N221" i="19" s="1"/>
  <c r="H572" i="18"/>
  <c r="N1076" i="19" s="1"/>
  <c r="H1494" i="18"/>
  <c r="N725" i="19" s="1"/>
  <c r="H1495" i="18"/>
  <c r="N1077" i="19" s="1"/>
  <c r="H257" i="18"/>
  <c r="N1078" i="19" s="1"/>
  <c r="H961" i="18"/>
  <c r="N372" i="19" s="1"/>
  <c r="H962" i="18"/>
  <c r="N416" i="19" s="1"/>
  <c r="H1319" i="18"/>
  <c r="N244" i="19" s="1"/>
  <c r="H1320" i="18"/>
  <c r="N742" i="19" s="1"/>
  <c r="H963" i="18"/>
  <c r="N272" i="19" s="1"/>
  <c r="H258" i="18"/>
  <c r="N2" i="19" s="1"/>
  <c r="H964" i="18"/>
  <c r="N514" i="19" s="1"/>
  <c r="H965" i="18"/>
  <c r="N1079" i="19" s="1"/>
  <c r="H966" i="18"/>
  <c r="N62" i="19" s="1"/>
  <c r="H76" i="18"/>
  <c r="N593" i="19" s="1"/>
  <c r="H967" i="18"/>
  <c r="N1080" i="19" s="1"/>
  <c r="H573" i="18"/>
  <c r="N1081" i="19" s="1"/>
  <c r="H968" i="18"/>
  <c r="N1082" i="19" s="1"/>
  <c r="H1496" i="18"/>
  <c r="N1083" i="19" s="1"/>
  <c r="H969" i="18"/>
  <c r="N249" i="19" s="1"/>
  <c r="H1321" i="18"/>
  <c r="N1084" i="19" s="1"/>
  <c r="H574" i="18"/>
  <c r="N355" i="19" s="1"/>
  <c r="H575" i="18"/>
  <c r="N1085" i="19" s="1"/>
  <c r="H970" i="18"/>
  <c r="N1086" i="19" s="1"/>
  <c r="H259" i="18"/>
  <c r="N1087" i="19" s="1"/>
  <c r="H1322" i="18"/>
  <c r="N633" i="19" s="1"/>
  <c r="H576" i="18"/>
  <c r="N356" i="19" s="1"/>
  <c r="H1323" i="18"/>
  <c r="N1088" i="19" s="1"/>
  <c r="H971" i="18"/>
  <c r="N1089" i="19" s="1"/>
  <c r="H577" i="18"/>
  <c r="N1090" i="19" s="1"/>
  <c r="H578" i="18"/>
  <c r="N1091" i="19" s="1"/>
  <c r="H972" i="18"/>
  <c r="N1092" i="19" s="1"/>
  <c r="H260" i="18"/>
  <c r="N1093" i="19" s="1"/>
  <c r="H579" i="18"/>
  <c r="N693" i="19" s="1"/>
  <c r="H973" i="18"/>
  <c r="N365" i="19" s="1"/>
  <c r="H974" i="18"/>
  <c r="N1094" i="19" s="1"/>
  <c r="H1324" i="18"/>
  <c r="N1095" i="19" s="1"/>
  <c r="H975" i="18"/>
  <c r="N1096" i="19" s="1"/>
  <c r="H77" i="18"/>
  <c r="N1097" i="19" s="1"/>
  <c r="H976" i="18"/>
  <c r="N1098" i="19" s="1"/>
  <c r="H977" i="18"/>
  <c r="N1099" i="19" s="1"/>
  <c r="H978" i="18"/>
  <c r="N58" i="19" s="1"/>
  <c r="H261" i="18"/>
  <c r="N515" i="19" s="1"/>
  <c r="H580" i="18"/>
  <c r="N609" i="19" s="1"/>
  <c r="H979" i="18"/>
  <c r="N1100" i="19" s="1"/>
  <c r="H980" i="18"/>
  <c r="N405" i="19" s="1"/>
  <c r="H581" i="18"/>
  <c r="N1101" i="19" s="1"/>
  <c r="H582" i="18"/>
  <c r="N294" i="19" s="1"/>
  <c r="H981" i="18"/>
  <c r="N594" i="19" s="1"/>
  <c r="H262" i="18"/>
  <c r="N784" i="19" s="1"/>
  <c r="H982" i="18"/>
  <c r="N831" i="19" s="1"/>
  <c r="H263" i="18"/>
  <c r="N973" i="19" s="1"/>
  <c r="H583" i="18"/>
  <c r="N1165" i="19" s="1"/>
  <c r="H983" i="18"/>
  <c r="N832" i="19" s="1"/>
  <c r="H1325" i="18"/>
  <c r="N1166" i="19" s="1"/>
  <c r="H984" i="18"/>
  <c r="N1167" i="19" s="1"/>
  <c r="H985" i="18"/>
  <c r="N1168" i="19" s="1"/>
  <c r="H986" i="18"/>
  <c r="N343" i="19" s="1"/>
  <c r="H1326" i="18"/>
  <c r="N592" i="19" s="1"/>
  <c r="H78" i="18"/>
  <c r="N488" i="19" s="1"/>
  <c r="H264" i="18"/>
  <c r="N1044" i="19" s="1"/>
  <c r="H265" i="18"/>
  <c r="N1045" i="19" s="1"/>
  <c r="H266" i="18"/>
  <c r="N1046" i="19" s="1"/>
  <c r="H584" i="18"/>
  <c r="N538" i="19" s="1"/>
  <c r="H1327" i="18"/>
  <c r="N814" i="19" s="1"/>
  <c r="H267" i="18"/>
  <c r="N627" i="19" s="1"/>
  <c r="H1328" i="18"/>
  <c r="N795" i="19" s="1"/>
  <c r="H585" i="18"/>
  <c r="N226" i="19" s="1"/>
  <c r="H1497" i="18"/>
  <c r="N1222" i="19" s="1"/>
  <c r="H1329" i="18"/>
  <c r="N115" i="19" s="1"/>
  <c r="H987" i="18"/>
  <c r="N948" i="19" s="1"/>
  <c r="H586" i="18"/>
  <c r="N820" i="19" s="1"/>
  <c r="H1330" i="18"/>
  <c r="N341" i="19" s="1"/>
  <c r="H1331" i="18"/>
  <c r="N610" i="19" s="1"/>
  <c r="H587" i="18"/>
  <c r="N250" i="19" s="1"/>
  <c r="H1332" i="18"/>
  <c r="N490" i="19" s="1"/>
  <c r="H1498" i="18"/>
  <c r="N954" i="19" s="1"/>
  <c r="H268" i="18"/>
  <c r="N232" i="19" s="1"/>
  <c r="H988" i="18"/>
  <c r="N785" i="19" s="1"/>
  <c r="H1499" i="18"/>
  <c r="N1103" i="19" s="1"/>
  <c r="H588" i="18"/>
  <c r="N295" i="19" s="1"/>
  <c r="H589" i="18"/>
  <c r="N1104" i="19" s="1"/>
  <c r="H1500" i="18"/>
  <c r="N241" i="19" s="1"/>
  <c r="H590" i="18"/>
  <c r="N286" i="19" s="1"/>
  <c r="H79" i="18"/>
  <c r="N821" i="19" s="1"/>
  <c r="H591" i="18"/>
  <c r="N1105" i="19" s="1"/>
  <c r="H989" i="18"/>
  <c r="N906" i="19" s="1"/>
  <c r="H592" i="18"/>
  <c r="N634" i="19" s="1"/>
  <c r="H269" i="18"/>
  <c r="N101" i="19" s="1"/>
  <c r="H80" i="18"/>
  <c r="N491" i="19" s="1"/>
  <c r="H990" i="18"/>
  <c r="N822" i="19" s="1"/>
  <c r="H81" i="18"/>
  <c r="N554" i="19" s="1"/>
  <c r="H991" i="18"/>
  <c r="N123" i="19" s="1"/>
  <c r="H270" i="18"/>
  <c r="N342" i="19" s="1"/>
  <c r="H593" i="18"/>
  <c r="N786" i="19" s="1"/>
  <c r="H1501" i="18"/>
  <c r="N1106" i="19" s="1"/>
  <c r="H992" i="18"/>
  <c r="N124" i="19" s="1"/>
  <c r="H271" i="18"/>
  <c r="N1107" i="19" s="1"/>
  <c r="H993" i="18"/>
  <c r="N972" i="19" s="1"/>
  <c r="H272" i="18"/>
  <c r="N251" i="19" s="1"/>
  <c r="H1333" i="18"/>
  <c r="N823" i="19" s="1"/>
  <c r="H1334" i="18"/>
  <c r="N907" i="19" s="1"/>
  <c r="H994" i="18"/>
  <c r="N296" i="19" s="1"/>
  <c r="H82" i="18"/>
  <c r="N196" i="19" s="1"/>
  <c r="H995" i="18"/>
  <c r="N373" i="19" s="1"/>
  <c r="H594" i="18"/>
  <c r="N1169" i="19" s="1"/>
  <c r="H83" i="18"/>
  <c r="N234" i="19" s="1"/>
  <c r="H996" i="18"/>
  <c r="N358" i="19" s="1"/>
  <c r="H1502" i="18"/>
  <c r="N1017" i="19" s="1"/>
  <c r="H1335" i="18"/>
  <c r="N591" i="19" s="1"/>
  <c r="H997" i="18"/>
  <c r="N90" i="19" s="1"/>
  <c r="H595" i="18"/>
  <c r="N1108" i="19" s="1"/>
  <c r="H998" i="18"/>
  <c r="N824" i="19" s="1"/>
  <c r="H999" i="18"/>
  <c r="N357" i="19" s="1"/>
  <c r="H273" i="18"/>
  <c r="N1109" i="19" s="1"/>
  <c r="H84" i="18"/>
  <c r="N787" i="19" s="1"/>
  <c r="H274" i="18"/>
  <c r="N125" i="19" s="1"/>
  <c r="H1000" i="18"/>
  <c r="N1110" i="19" s="1"/>
  <c r="H1001" i="18"/>
  <c r="N1111" i="19" s="1"/>
  <c r="H1336" i="18"/>
  <c r="N1112" i="19" s="1"/>
  <c r="H1002" i="18"/>
  <c r="N1113" i="19" s="1"/>
  <c r="H1337" i="18"/>
  <c r="N1114" i="19" s="1"/>
  <c r="H1003" i="18"/>
  <c r="N1115" i="19" s="1"/>
  <c r="H275" i="18"/>
  <c r="N18" i="19" s="1"/>
  <c r="H276" i="18"/>
  <c r="N417" i="19" s="1"/>
  <c r="H1004" i="18"/>
  <c r="N10" i="19" s="1"/>
  <c r="H1338" i="18"/>
  <c r="N1116" i="19" s="1"/>
  <c r="H1339" i="18"/>
  <c r="N492" i="19" s="1"/>
  <c r="H596" i="18"/>
  <c r="N1047" i="19" s="1"/>
  <c r="H597" i="18"/>
  <c r="N815" i="19" s="1"/>
  <c r="H1005" i="18"/>
  <c r="N193" i="19" s="1"/>
  <c r="H598" i="18"/>
  <c r="N1048" i="19" s="1"/>
  <c r="H599" i="18"/>
  <c r="N551" i="19" s="1"/>
  <c r="H1006" i="18"/>
  <c r="N137" i="19" s="1"/>
  <c r="H1503" i="18"/>
  <c r="N1049" i="19" s="1"/>
  <c r="H1007" i="18"/>
  <c r="N1050" i="19" s="1"/>
  <c r="H1008" i="18"/>
  <c r="N552" i="19" s="1"/>
  <c r="H1340" i="18"/>
  <c r="N1051" i="19" s="1"/>
  <c r="H1341" i="18"/>
  <c r="N628" i="19" s="1"/>
  <c r="H1009" i="18"/>
  <c r="N122" i="19" s="1"/>
  <c r="H1342" i="18"/>
  <c r="N1052" i="19" s="1"/>
  <c r="H600" i="18"/>
  <c r="N1053" i="19" s="1"/>
  <c r="H277" i="18"/>
  <c r="N1054" i="19" s="1"/>
  <c r="H1010" i="18"/>
  <c r="N160" i="19" s="1"/>
  <c r="H601" i="18"/>
  <c r="N1055" i="19" s="1"/>
  <c r="H1011" i="18"/>
  <c r="N415" i="19" s="1"/>
  <c r="H602" i="18"/>
  <c r="N194" i="19" s="1"/>
  <c r="H1343" i="18"/>
  <c r="N1056" i="19" s="1"/>
  <c r="H1012" i="18"/>
  <c r="N1057" i="19" s="1"/>
  <c r="H1013" i="18"/>
  <c r="N111" i="19" s="1"/>
  <c r="H1344" i="18"/>
  <c r="N440" i="19" s="1"/>
  <c r="H1345" i="18"/>
  <c r="N404" i="19" s="1"/>
  <c r="H1504" i="18"/>
  <c r="N195" i="19" s="1"/>
  <c r="H603" i="18"/>
  <c r="N629" i="19" s="1"/>
  <c r="H1014" i="18"/>
  <c r="N1058" i="19" s="1"/>
  <c r="H278" i="18"/>
  <c r="N1059" i="19" s="1"/>
  <c r="H279" i="18"/>
  <c r="N223" i="19" s="1"/>
  <c r="H18" i="18"/>
  <c r="N98" i="19" s="1"/>
  <c r="H604" i="18"/>
  <c r="N1060" i="19" s="1"/>
  <c r="H1015" i="18"/>
  <c r="N1061" i="19" s="1"/>
  <c r="H1346" i="18"/>
  <c r="N691" i="19" s="1"/>
  <c r="H1505" i="18"/>
  <c r="N1062" i="19" s="1"/>
  <c r="H1016" i="18"/>
  <c r="N231" i="19" s="1"/>
  <c r="H1017" i="18"/>
  <c r="N26" i="19" s="1"/>
  <c r="H605" i="18"/>
  <c r="N363" i="19" s="1"/>
  <c r="H1347" i="18"/>
  <c r="N1063" i="19" s="1"/>
  <c r="H1018" i="18"/>
  <c r="N816" i="19" s="1"/>
  <c r="H606" i="18"/>
  <c r="N11" i="19" s="1"/>
  <c r="H1019" i="18"/>
  <c r="N442" i="19" s="1"/>
  <c r="H1348" i="18"/>
  <c r="N242" i="19" s="1"/>
  <c r="H607" i="18"/>
  <c r="N57" i="19" s="1"/>
  <c r="H1020" i="18"/>
  <c r="N102" i="19" s="1"/>
  <c r="H608" i="18"/>
  <c r="N174" i="19" s="1"/>
  <c r="H1506" i="18"/>
  <c r="N1018" i="19" s="1"/>
  <c r="H1349" i="18"/>
  <c r="N136" i="19" s="1"/>
  <c r="H609" i="18"/>
  <c r="N625" i="19" s="1"/>
  <c r="H1350" i="18"/>
  <c r="N1019" i="19" s="1"/>
  <c r="H19" i="18"/>
  <c r="N269" i="19" s="1"/>
  <c r="H280" i="18"/>
  <c r="N368" i="19" s="1"/>
  <c r="H1351" i="18"/>
  <c r="N741" i="19" s="1"/>
  <c r="H281" i="18"/>
  <c r="N369" i="19" s="1"/>
  <c r="H1352" i="18"/>
  <c r="N292" i="19" s="1"/>
  <c r="H1021" i="18"/>
  <c r="N99" i="19" s="1"/>
  <c r="H282" i="18"/>
  <c r="N33" i="19" s="1"/>
  <c r="H610" i="18"/>
  <c r="N271" i="19" s="1"/>
  <c r="H1022" i="18"/>
  <c r="N247" i="19" s="1"/>
  <c r="H1023" i="18"/>
  <c r="N100" i="19" s="1"/>
  <c r="H1024" i="18"/>
  <c r="N630" i="19" s="1"/>
  <c r="H1353" i="18"/>
  <c r="N903" i="19" s="1"/>
  <c r="H1354" i="18"/>
  <c r="N631" i="19" s="1"/>
  <c r="H611" i="18"/>
  <c r="N692" i="19" s="1"/>
  <c r="H1025" i="18"/>
  <c r="N904" i="19" s="1"/>
  <c r="H283" i="18"/>
  <c r="N370" i="19" s="1"/>
  <c r="H1026" i="18"/>
  <c r="N905" i="19" s="1"/>
  <c r="H1027" i="18"/>
  <c r="N1064" i="19" s="1"/>
  <c r="H612" i="18"/>
  <c r="N81" i="19" s="1"/>
  <c r="H1355" i="18"/>
  <c r="N1065" i="19" s="1"/>
  <c r="H613" i="18"/>
  <c r="N118" i="19" s="1"/>
  <c r="H284" i="18"/>
  <c r="N441" i="19" s="1"/>
  <c r="H1356" i="18"/>
  <c r="N1066" i="19" s="1"/>
  <c r="H1028" i="18"/>
  <c r="N1117" i="19" s="1"/>
  <c r="H614" i="18"/>
  <c r="N493" i="19" s="1"/>
  <c r="H1357" i="18"/>
  <c r="N1007" i="19" s="1"/>
  <c r="H615" i="18"/>
  <c r="N1067" i="19" s="1"/>
  <c r="H1358" i="18"/>
  <c r="N1068" i="19" s="1"/>
  <c r="H85" i="18"/>
  <c r="N293" i="19" s="1"/>
  <c r="H1359" i="18"/>
  <c r="N1069" i="19" s="1"/>
  <c r="H1029" i="18"/>
  <c r="N489" i="19" s="1"/>
  <c r="H616" i="18"/>
  <c r="N817" i="19" s="1"/>
  <c r="H1360" i="18"/>
  <c r="N72" i="19" s="1"/>
  <c r="H1030" i="18"/>
  <c r="N1070" i="19" s="1"/>
  <c r="H1507" i="18"/>
  <c r="N626" i="19" s="1"/>
  <c r="H86" i="18"/>
  <c r="N61" i="19" s="1"/>
  <c r="H87" i="18"/>
  <c r="N246" i="19" s="1"/>
  <c r="H1031" i="18"/>
  <c r="N159" i="19" s="1"/>
  <c r="H1032" i="18"/>
  <c r="N1020" i="19" s="1"/>
  <c r="H1361" i="18"/>
  <c r="N1021" i="19" s="1"/>
  <c r="H1362" i="18"/>
  <c r="N1022" i="19" s="1"/>
  <c r="H1363" i="18"/>
  <c r="N1023" i="19" s="1"/>
  <c r="H285" i="18"/>
  <c r="N36" i="19" s="1"/>
  <c r="H1033" i="18"/>
  <c r="N1024" i="19" s="1"/>
  <c r="H1364" i="18"/>
  <c r="N1025" i="19" s="1"/>
  <c r="H617" i="18"/>
  <c r="N723" i="19" s="1"/>
  <c r="H1365" i="18"/>
  <c r="N953" i="19" s="1"/>
  <c r="H1366" i="18"/>
  <c r="N1026" i="19" s="1"/>
  <c r="H1034" i="18"/>
  <c r="N1027" i="19" s="1"/>
  <c r="H286" i="18"/>
  <c r="N414" i="19" s="1"/>
  <c r="H618" i="18"/>
  <c r="N362" i="19" s="1"/>
  <c r="H287" i="18"/>
  <c r="N1028" i="19" s="1"/>
  <c r="H619" i="18"/>
  <c r="N438" i="19" s="1"/>
  <c r="H1367" i="18"/>
  <c r="N1029" i="19" s="1"/>
  <c r="H1035" i="18"/>
  <c r="N549" i="19" s="1"/>
  <c r="H1368" i="18"/>
  <c r="N1030" i="19" s="1"/>
  <c r="H620" i="18"/>
  <c r="N39" i="19" s="1"/>
  <c r="H1369" i="18"/>
  <c r="N1031" i="19" s="1"/>
  <c r="H1036" i="18"/>
  <c r="N1032" i="19" s="1"/>
  <c r="H88" i="18"/>
  <c r="N16" i="19" s="1"/>
  <c r="H1037" i="18"/>
  <c r="N811" i="19" s="1"/>
  <c r="H1038" i="18"/>
  <c r="N371" i="19" s="1"/>
  <c r="H1370" i="18"/>
  <c r="N248" i="19" s="1"/>
  <c r="H1039" i="18"/>
  <c r="N1071" i="19" s="1"/>
  <c r="H89" i="18"/>
  <c r="N818" i="19" s="1"/>
  <c r="H621" i="18"/>
  <c r="N724" i="19" s="1"/>
  <c r="H90" i="18"/>
  <c r="N1072" i="19" s="1"/>
  <c r="H1371" i="18"/>
  <c r="N553" i="19" s="1"/>
  <c r="H288" i="18"/>
  <c r="N970" i="19" s="1"/>
  <c r="H1372" i="18"/>
  <c r="N1008" i="19" s="1"/>
  <c r="H622" i="18"/>
  <c r="N819" i="19" s="1"/>
  <c r="H91" i="18"/>
  <c r="N1033" i="19" s="1"/>
  <c r="H92" i="18"/>
  <c r="N189" i="19" s="1"/>
  <c r="H289" i="18"/>
  <c r="N1034" i="19" s="1"/>
  <c r="H1040" i="18"/>
  <c r="N1035" i="19" s="1"/>
  <c r="H290" i="18"/>
  <c r="N529" i="19" s="1"/>
  <c r="H291" i="18"/>
  <c r="N56" i="19" s="1"/>
  <c r="H1373" i="18"/>
  <c r="N1036" i="19" s="1"/>
  <c r="H1041" i="18"/>
  <c r="N439" i="19" s="1"/>
  <c r="H1042" i="18"/>
  <c r="N733" i="19" s="1"/>
  <c r="H1043" i="18"/>
  <c r="N689" i="19" s="1"/>
  <c r="H623" i="18"/>
  <c r="N902" i="19" s="1"/>
  <c r="H1044" i="18"/>
  <c r="N270" i="19" s="1"/>
  <c r="H1045" i="18"/>
  <c r="N1037" i="19" s="1"/>
  <c r="H93" i="18"/>
  <c r="N1038" i="19" s="1"/>
  <c r="H1046" i="18"/>
  <c r="N690" i="19" s="1"/>
  <c r="H292" i="18"/>
  <c r="N1039" i="19" s="1"/>
  <c r="H624" i="18"/>
  <c r="N1040" i="19" s="1"/>
  <c r="H293" i="18"/>
  <c r="N291" i="19" s="1"/>
  <c r="H625" i="18"/>
  <c r="N550" i="19" s="1"/>
  <c r="H1047" i="18"/>
  <c r="N283" i="19" s="1"/>
  <c r="H626" i="18"/>
  <c r="N632" i="19" s="1"/>
  <c r="H1048" i="18"/>
  <c r="N623" i="19" s="1"/>
  <c r="H294" i="18"/>
  <c r="N900" i="19" s="1"/>
  <c r="H295" i="18"/>
  <c r="N267" i="19" s="1"/>
  <c r="H627" i="18"/>
  <c r="N268" i="19" s="1"/>
  <c r="H628" i="18"/>
  <c r="N624" i="19" s="1"/>
  <c r="H629" i="18"/>
  <c r="N1009" i="19" s="1"/>
  <c r="H1049" i="18"/>
  <c r="N437" i="19" s="1"/>
  <c r="H1050" i="18"/>
  <c r="N1010" i="19" s="1"/>
  <c r="H1051" i="18"/>
  <c r="N971" i="19" s="1"/>
  <c r="H296" i="18"/>
  <c r="N901" i="19" s="1"/>
  <c r="H1508" i="18"/>
  <c r="N1011" i="19" s="1"/>
  <c r="H297" i="18"/>
  <c r="N156" i="19" s="1"/>
  <c r="H298" i="18"/>
  <c r="N66" i="19" s="1"/>
  <c r="H1374" i="18"/>
  <c r="N485" i="19" s="1"/>
  <c r="H630" i="18"/>
  <c r="N734" i="19" s="1"/>
  <c r="H631" i="18"/>
  <c r="N1041" i="19" s="1"/>
  <c r="H1509" i="18"/>
  <c r="N1042" i="19" s="1"/>
  <c r="H632" i="18"/>
  <c r="N149" i="19" s="1"/>
  <c r="H1510" i="18"/>
  <c r="N1043" i="19" s="1"/>
  <c r="H1375" i="18"/>
  <c r="N812" i="19" s="1"/>
  <c r="H1376" i="18"/>
  <c r="N243" i="19" s="1"/>
  <c r="H1052" i="18"/>
  <c r="N340" i="19" s="1"/>
  <c r="H1377" i="18"/>
  <c r="N183" i="19" s="1"/>
  <c r="H1053" i="18"/>
  <c r="N997" i="19" s="1"/>
  <c r="H633" i="18"/>
  <c r="N998" i="19" s="1"/>
  <c r="H94" i="18"/>
  <c r="N621" i="19" s="1"/>
  <c r="H1378" i="18"/>
  <c r="N192" i="19" s="1"/>
  <c r="H1379" i="18"/>
  <c r="N1012" i="19" s="1"/>
  <c r="H1054" i="18"/>
  <c r="N486" i="19" s="1"/>
  <c r="H95" i="18"/>
  <c r="N810" i="19" s="1"/>
  <c r="H96" i="18"/>
  <c r="N38" i="19" s="1"/>
  <c r="H634" i="18"/>
  <c r="N732" i="19" s="1"/>
  <c r="H1380" i="18"/>
  <c r="N230" i="19" s="1"/>
  <c r="H299" i="18"/>
  <c r="N157" i="19" s="1"/>
  <c r="H1381" i="18"/>
  <c r="N1013" i="19" s="1"/>
  <c r="H1382" i="18"/>
  <c r="N158" i="19" s="1"/>
  <c r="H1383" i="18"/>
  <c r="N1014" i="19" s="1"/>
  <c r="H1384" i="18"/>
  <c r="N782" i="19" s="1"/>
  <c r="H300" i="18"/>
  <c r="N24" i="19" s="1"/>
  <c r="H1055" i="18"/>
  <c r="N191" i="19" s="1"/>
  <c r="H301" i="18"/>
  <c r="N332" i="19" s="1"/>
  <c r="H97" i="18"/>
  <c r="N53" i="19" s="1"/>
  <c r="H1385" i="18"/>
  <c r="N813" i="19" s="1"/>
  <c r="H1056" i="18"/>
  <c r="N487" i="19" s="1"/>
  <c r="H1057" i="18"/>
  <c r="N45" i="19" s="1"/>
  <c r="H635" i="18"/>
  <c r="N542" i="19" s="1"/>
  <c r="H1058" i="18"/>
  <c r="N245" i="19" s="1"/>
  <c r="H1386" i="18"/>
  <c r="N807" i="19" s="1"/>
  <c r="H1387" i="18"/>
  <c r="N808" i="19" s="1"/>
  <c r="H1059" i="18"/>
  <c r="N999" i="19" s="1"/>
  <c r="H1060" i="18"/>
  <c r="N688" i="19" s="1"/>
  <c r="H20" i="18"/>
  <c r="N424" i="19" s="1"/>
  <c r="H98" i="18"/>
  <c r="N71" i="19" s="1"/>
  <c r="H636" i="18"/>
  <c r="N546" i="19" s="1"/>
  <c r="H637" i="18"/>
  <c r="N783" i="19" s="1"/>
  <c r="H1388" i="18"/>
  <c r="N899" i="19" s="1"/>
  <c r="H1389" i="18"/>
  <c r="N993" i="19" s="1"/>
  <c r="H638" i="18"/>
  <c r="N1000" i="19" s="1"/>
  <c r="H639" i="18"/>
  <c r="N425" i="19" s="1"/>
  <c r="H640" i="18"/>
  <c r="N1001" i="19" s="1"/>
  <c r="H641" i="18"/>
  <c r="N1002" i="19" s="1"/>
  <c r="H1390" i="18"/>
  <c r="N622" i="19" s="1"/>
  <c r="H1391" i="18"/>
  <c r="N1003" i="19" s="1"/>
  <c r="H302" i="18"/>
  <c r="N590" i="19" s="1"/>
  <c r="H1061" i="18"/>
  <c r="N722" i="19" s="1"/>
  <c r="H303" i="18"/>
  <c r="N528" i="19" s="1"/>
  <c r="H1062" i="18"/>
  <c r="N994" i="19" s="1"/>
  <c r="H1063" i="18"/>
  <c r="N995" i="19" s="1"/>
  <c r="H1392" i="18"/>
  <c r="N512" i="19" s="1"/>
  <c r="H99" i="18"/>
  <c r="N805" i="19" s="1"/>
  <c r="H1064" i="18"/>
  <c r="N1015" i="19" s="1"/>
  <c r="H1393" i="18"/>
  <c r="N992" i="19" s="1"/>
  <c r="H1394" i="18"/>
  <c r="N1004" i="19" s="1"/>
  <c r="H642" i="18"/>
  <c r="N367" i="19" s="1"/>
  <c r="H1395" i="18"/>
  <c r="N952" i="19" s="1"/>
  <c r="H1065" i="18"/>
  <c r="N806" i="19" s="1"/>
  <c r="H1066" i="18"/>
  <c r="N996" i="19" s="1"/>
  <c r="H643" i="18"/>
  <c r="N620" i="19" s="1"/>
  <c r="H1511" i="18"/>
  <c r="N331" i="19" s="1"/>
  <c r="H1067" i="18"/>
  <c r="N618" i="19" s="1"/>
  <c r="H304" i="18"/>
  <c r="N781" i="19" s="1"/>
  <c r="H21" i="18"/>
  <c r="N41" i="19" s="1"/>
  <c r="H1068" i="18"/>
  <c r="N339" i="19" s="1"/>
  <c r="H1069" i="18"/>
  <c r="N988" i="19" s="1"/>
  <c r="H305" i="18"/>
  <c r="N54" i="19" s="1"/>
  <c r="H1070" i="18"/>
  <c r="N93" i="19" s="1"/>
  <c r="H1071" i="18"/>
  <c r="N990" i="19" s="1"/>
  <c r="H1396" i="18"/>
  <c r="N1005" i="19" s="1"/>
  <c r="H644" i="18"/>
  <c r="N182" i="19" s="1"/>
  <c r="H306" i="18"/>
  <c r="N155" i="19" s="1"/>
  <c r="H1072" i="18"/>
  <c r="N513" i="19" s="1"/>
  <c r="H1073" i="18"/>
  <c r="N541" i="19" s="1"/>
  <c r="H645" i="18"/>
  <c r="N619" i="19" s="1"/>
  <c r="H1074" i="18"/>
  <c r="N1006" i="19" s="1"/>
  <c r="H646" i="18"/>
  <c r="N991" i="19" s="1"/>
  <c r="H647" i="18"/>
  <c r="N154" i="19" s="1"/>
  <c r="H1075" i="18"/>
  <c r="N809" i="19" s="1"/>
  <c r="H1397" i="18"/>
  <c r="N511" i="19" s="1"/>
  <c r="H648" i="18"/>
  <c r="N739" i="19" s="1"/>
  <c r="H1076" i="18"/>
  <c r="N426" i="19" s="1"/>
  <c r="H649" i="18"/>
  <c r="N740" i="19" s="1"/>
  <c r="H650" i="18"/>
  <c r="N222" i="19" s="1"/>
  <c r="H1398" i="18"/>
  <c r="N617" i="19" s="1"/>
  <c r="H1077" i="18"/>
  <c r="N985" i="19" s="1"/>
  <c r="H1512" i="18"/>
  <c r="N613" i="19" s="1"/>
  <c r="H1078" i="18"/>
  <c r="N278" i="19" s="1"/>
  <c r="H1079" i="18"/>
  <c r="N179" i="19" s="1"/>
  <c r="H1080" i="18"/>
  <c r="N804" i="19" s="1"/>
  <c r="H100" i="18"/>
  <c r="N285" i="19" s="1"/>
  <c r="H101" i="18"/>
  <c r="N55" i="19" s="1"/>
  <c r="H1399" i="18"/>
  <c r="N989" i="19" s="1"/>
  <c r="H651" i="18"/>
  <c r="N898" i="19" s="1"/>
  <c r="H652" i="18"/>
  <c r="N69" i="19" s="1"/>
  <c r="H1081" i="18"/>
  <c r="N986" i="19" s="1"/>
  <c r="H307" i="18"/>
  <c r="N484" i="19" s="1"/>
  <c r="H1513" i="18"/>
  <c r="N987" i="19" s="1"/>
  <c r="H1514" i="18"/>
  <c r="H60"/>
  <c r="N983" i="19" s="1"/>
  <c r="E203" i="3" l="1"/>
  <c r="E794"/>
  <c r="E516"/>
  <c r="E386"/>
  <c r="E1314"/>
  <c r="E261"/>
  <c r="E992"/>
  <c r="E718"/>
  <c r="E1364"/>
  <c r="E595"/>
  <c r="E1216"/>
  <c r="E1154"/>
  <c r="E882"/>
  <c r="E1184"/>
  <c r="E709"/>
  <c r="E1181"/>
  <c r="E393"/>
  <c r="E525"/>
  <c r="E155"/>
  <c r="E284"/>
  <c r="E43"/>
  <c r="E1078"/>
  <c r="E1052"/>
  <c r="E949"/>
  <c r="E406"/>
  <c r="E1274"/>
  <c r="E1146"/>
  <c r="E826"/>
  <c r="E937"/>
  <c r="E390"/>
  <c r="E1219"/>
  <c r="E1293"/>
  <c r="E1100"/>
  <c r="E497"/>
  <c r="E760"/>
  <c r="E1085"/>
  <c r="E1214"/>
  <c r="E528"/>
  <c r="E825"/>
  <c r="E348"/>
  <c r="E1405"/>
  <c r="E588"/>
  <c r="E1080"/>
  <c r="E1266"/>
  <c r="E586"/>
  <c r="E500"/>
  <c r="E221"/>
  <c r="E1134"/>
  <c r="E998"/>
  <c r="E780"/>
  <c r="E42"/>
  <c r="E239"/>
  <c r="E267"/>
  <c r="E1090"/>
  <c r="E424"/>
  <c r="E460"/>
  <c r="E783"/>
  <c r="E41"/>
  <c r="E1419"/>
  <c r="E40"/>
  <c r="E371"/>
  <c r="E39"/>
  <c r="E764"/>
  <c r="E38"/>
  <c r="E632"/>
  <c r="E1481"/>
  <c r="E682"/>
  <c r="E1049"/>
  <c r="E401"/>
  <c r="E809"/>
  <c r="E958"/>
  <c r="E1382"/>
  <c r="E1377"/>
  <c r="E1211"/>
  <c r="E533"/>
  <c r="E1407"/>
  <c r="E1344"/>
  <c r="E1179"/>
  <c r="E1271"/>
  <c r="E1383"/>
  <c r="E1347"/>
  <c r="E940"/>
  <c r="E733"/>
  <c r="E551"/>
  <c r="E1054"/>
  <c r="E1017"/>
  <c r="E1408"/>
  <c r="E309"/>
  <c r="E711"/>
  <c r="E333"/>
  <c r="E1280"/>
  <c r="E536"/>
  <c r="E751"/>
  <c r="E1310"/>
  <c r="E1396"/>
  <c r="E1113"/>
  <c r="E968"/>
  <c r="E308"/>
  <c r="E37"/>
  <c r="E1139"/>
  <c r="E120"/>
  <c r="E298"/>
  <c r="E781"/>
  <c r="E631"/>
  <c r="E1423"/>
  <c r="E955"/>
  <c r="E550"/>
  <c r="E421"/>
  <c r="E94"/>
  <c r="E862"/>
  <c r="E224"/>
  <c r="E48"/>
  <c r="E1057"/>
  <c r="E1247"/>
  <c r="E426"/>
  <c r="E112"/>
  <c r="E643"/>
  <c r="E1046"/>
  <c r="E332"/>
  <c r="E272"/>
  <c r="E880"/>
  <c r="E668"/>
  <c r="E36"/>
  <c r="E351"/>
  <c r="E435"/>
  <c r="E138"/>
  <c r="E184"/>
  <c r="E443"/>
  <c r="E982"/>
  <c r="E911"/>
  <c r="E801"/>
  <c r="E903"/>
  <c r="E1324"/>
  <c r="E62"/>
  <c r="E422"/>
  <c r="E444"/>
  <c r="E1342"/>
  <c r="E1122"/>
  <c r="E645"/>
  <c r="E518"/>
  <c r="E91"/>
  <c r="E246"/>
  <c r="E1381"/>
  <c r="E63"/>
  <c r="E502"/>
  <c r="E521"/>
  <c r="E1118"/>
  <c r="E347"/>
  <c r="E1095"/>
  <c r="E1290"/>
  <c r="E211"/>
  <c r="E535"/>
  <c r="E1331"/>
  <c r="E1480"/>
  <c r="E1020"/>
  <c r="E1011"/>
  <c r="E1202"/>
  <c r="E1431"/>
  <c r="E1402"/>
  <c r="E925"/>
  <c r="E1002"/>
  <c r="E187"/>
  <c r="E304"/>
  <c r="E895"/>
  <c r="E35"/>
  <c r="E237"/>
  <c r="E241"/>
  <c r="E378"/>
  <c r="E465"/>
  <c r="E546"/>
  <c r="E46"/>
  <c r="E944"/>
  <c r="E752"/>
  <c r="E988"/>
  <c r="E529"/>
  <c r="E593"/>
  <c r="E970"/>
  <c r="E127"/>
  <c r="E902"/>
  <c r="E701"/>
  <c r="E647"/>
  <c r="E1479"/>
  <c r="E34"/>
  <c r="E961"/>
  <c r="E229"/>
  <c r="E548"/>
  <c r="E1065"/>
  <c r="E824"/>
  <c r="E897"/>
  <c r="E913"/>
  <c r="E1232"/>
  <c r="E293"/>
  <c r="E539"/>
  <c r="E906"/>
  <c r="E358"/>
  <c r="E812"/>
  <c r="E704"/>
  <c r="E490"/>
  <c r="E860"/>
  <c r="E1174"/>
  <c r="E1084"/>
  <c r="E1147"/>
  <c r="E563"/>
  <c r="E1395"/>
  <c r="E1242"/>
  <c r="E1024"/>
  <c r="E688"/>
  <c r="E622"/>
  <c r="E553"/>
  <c r="E872"/>
  <c r="E1191"/>
  <c r="E731"/>
  <c r="E842"/>
  <c r="E996"/>
  <c r="E1397"/>
  <c r="E1209"/>
  <c r="E369"/>
  <c r="E870"/>
  <c r="E1366"/>
  <c r="E788"/>
  <c r="E1112"/>
  <c r="E372"/>
  <c r="E1131"/>
  <c r="E770"/>
  <c r="E167"/>
  <c r="E462"/>
  <c r="E1223"/>
  <c r="E507"/>
  <c r="E1171"/>
  <c r="E448"/>
  <c r="E477"/>
  <c r="E478"/>
  <c r="E463"/>
  <c r="E227"/>
  <c r="E1346"/>
  <c r="E189"/>
  <c r="E1066"/>
  <c r="E137"/>
  <c r="E191"/>
  <c r="E392"/>
  <c r="E1044"/>
  <c r="E225"/>
  <c r="E859"/>
  <c r="E420"/>
  <c r="E67"/>
  <c r="E1478"/>
  <c r="E1152"/>
  <c r="E1030"/>
  <c r="E399"/>
  <c r="E1009"/>
  <c r="E150"/>
  <c r="E33"/>
  <c r="E479"/>
  <c r="E503"/>
  <c r="E288"/>
  <c r="E663"/>
  <c r="E784"/>
  <c r="E1176"/>
  <c r="E32"/>
  <c r="E1201"/>
  <c r="E31"/>
  <c r="E933"/>
  <c r="E1267"/>
  <c r="E1404"/>
  <c r="E1390"/>
  <c r="E654"/>
  <c r="E858"/>
  <c r="E1203"/>
  <c r="E922"/>
  <c r="E1094"/>
  <c r="E30"/>
  <c r="E1418"/>
  <c r="E156"/>
  <c r="E376"/>
  <c r="E1240"/>
  <c r="E1295"/>
  <c r="E898"/>
  <c r="E1351"/>
  <c r="E258"/>
  <c r="E183"/>
  <c r="E886"/>
  <c r="E29"/>
  <c r="E1033"/>
  <c r="E1099"/>
  <c r="E427"/>
  <c r="E684"/>
  <c r="E251"/>
  <c r="E1169"/>
  <c r="E28"/>
  <c r="E1028"/>
  <c r="E449"/>
  <c r="E759"/>
  <c r="E805"/>
  <c r="E1251"/>
  <c r="E694"/>
  <c r="E930"/>
  <c r="E987"/>
  <c r="E1285"/>
  <c r="E567"/>
  <c r="E27"/>
  <c r="E58"/>
  <c r="E745"/>
  <c r="E131"/>
  <c r="E910"/>
  <c r="E1394"/>
  <c r="E773"/>
  <c r="E109"/>
  <c r="E102"/>
  <c r="E188"/>
  <c r="E397"/>
  <c r="E1186"/>
  <c r="E1101"/>
  <c r="E1356"/>
  <c r="E1277"/>
  <c r="E814"/>
  <c r="E547"/>
  <c r="E915"/>
  <c r="E792"/>
  <c r="E591"/>
  <c r="E743"/>
  <c r="E921"/>
  <c r="E634"/>
  <c r="E51"/>
  <c r="E1477"/>
  <c r="E175"/>
  <c r="E1349"/>
  <c r="E481"/>
  <c r="E283"/>
  <c r="E1073"/>
  <c r="E1200"/>
  <c r="E609"/>
  <c r="E220"/>
  <c r="E164"/>
  <c r="E638"/>
  <c r="E581"/>
  <c r="E149"/>
  <c r="E1196"/>
  <c r="E148"/>
  <c r="E368"/>
  <c r="E90"/>
  <c r="E494"/>
  <c r="E81"/>
  <c r="E89"/>
  <c r="E1088"/>
  <c r="E1379"/>
  <c r="E290"/>
  <c r="E26"/>
  <c r="E724"/>
  <c r="E231"/>
  <c r="E355"/>
  <c r="E205"/>
  <c r="E121"/>
  <c r="E585"/>
  <c r="E1334"/>
  <c r="E116"/>
  <c r="E776"/>
  <c r="E1343"/>
  <c r="E25"/>
  <c r="E750"/>
  <c r="E1031"/>
  <c r="E697"/>
  <c r="E194"/>
  <c r="E196"/>
  <c r="E1215"/>
  <c r="E307"/>
  <c r="E330"/>
  <c r="E388"/>
  <c r="E106"/>
  <c r="E493"/>
  <c r="E483"/>
  <c r="E669"/>
  <c r="E866"/>
  <c r="E151"/>
  <c r="E185"/>
  <c r="E1422"/>
  <c r="E364"/>
  <c r="E147"/>
  <c r="E628"/>
  <c r="E594"/>
  <c r="E1160"/>
  <c r="E767"/>
  <c r="E1001"/>
  <c r="E604"/>
  <c r="E97"/>
  <c r="E820"/>
  <c r="E1264"/>
  <c r="E640"/>
  <c r="E346"/>
  <c r="E1070"/>
  <c r="E1061"/>
  <c r="E677"/>
  <c r="E1284"/>
  <c r="E935"/>
  <c r="E436"/>
  <c r="E87"/>
  <c r="E619"/>
  <c r="E1123"/>
  <c r="E54"/>
  <c r="E395"/>
  <c r="E1476"/>
  <c r="E544"/>
  <c r="E361"/>
  <c r="E1313"/>
  <c r="E1035"/>
  <c r="E1336"/>
  <c r="E1380"/>
  <c r="E1475"/>
  <c r="E621"/>
  <c r="E431"/>
  <c r="E785"/>
  <c r="E433"/>
  <c r="E651"/>
  <c r="E722"/>
  <c r="E552"/>
  <c r="E440"/>
  <c r="E1474"/>
  <c r="E1329"/>
  <c r="E667"/>
  <c r="E1300"/>
  <c r="E44"/>
  <c r="E1018"/>
  <c r="E510"/>
  <c r="E108"/>
  <c r="E1239"/>
  <c r="E1163"/>
  <c r="E143"/>
  <c r="E980"/>
  <c r="E253"/>
  <c r="E762"/>
  <c r="E1473"/>
  <c r="E236"/>
  <c r="E404"/>
  <c r="E193"/>
  <c r="E1144"/>
  <c r="E1076"/>
  <c r="E75"/>
  <c r="E614"/>
  <c r="E636"/>
  <c r="E702"/>
  <c r="E691"/>
  <c r="E1133"/>
  <c r="E1472"/>
  <c r="E144"/>
  <c r="E475"/>
  <c r="E649"/>
  <c r="E659"/>
  <c r="E473"/>
  <c r="E350"/>
  <c r="E1229"/>
  <c r="E24"/>
  <c r="E787"/>
  <c r="E302"/>
  <c r="E871"/>
  <c r="E1319"/>
  <c r="E1128"/>
  <c r="E736"/>
  <c r="E499"/>
  <c r="E107"/>
  <c r="E45"/>
  <c r="E672"/>
  <c r="E165"/>
  <c r="E126"/>
  <c r="E899"/>
  <c r="E383"/>
  <c r="E623"/>
  <c r="E587"/>
  <c r="E580"/>
  <c r="E685"/>
  <c r="E23"/>
  <c r="E1281"/>
  <c r="E1311"/>
  <c r="E1333"/>
  <c r="E598"/>
  <c r="E716"/>
  <c r="E1378"/>
  <c r="E413"/>
  <c r="E977"/>
  <c r="E713"/>
  <c r="E1190"/>
  <c r="E1111"/>
  <c r="E1370"/>
  <c r="E1120"/>
  <c r="E1363"/>
  <c r="E675"/>
  <c r="E597"/>
  <c r="E1339"/>
  <c r="E1059"/>
  <c r="E385"/>
  <c r="E952"/>
  <c r="E1091"/>
  <c r="E1417"/>
  <c r="E740"/>
  <c r="E1137"/>
  <c r="E947"/>
  <c r="E800"/>
  <c r="E1471"/>
  <c r="E1297"/>
  <c r="E1413"/>
  <c r="E1170"/>
  <c r="E945"/>
  <c r="E1470"/>
  <c r="E312"/>
  <c r="E962"/>
  <c r="E1330"/>
  <c r="E453"/>
  <c r="E674"/>
  <c r="E1045"/>
  <c r="E1358"/>
  <c r="E254"/>
  <c r="E873"/>
  <c r="E971"/>
  <c r="E844"/>
  <c r="E1235"/>
  <c r="E995"/>
  <c r="E511"/>
  <c r="E836"/>
  <c r="E1430"/>
  <c r="E1323"/>
  <c r="E1286"/>
  <c r="E975"/>
  <c r="E865"/>
  <c r="E391"/>
  <c r="E341"/>
  <c r="E66"/>
  <c r="E235"/>
  <c r="E753"/>
  <c r="E531"/>
  <c r="E1245"/>
  <c r="E979"/>
  <c r="E1036"/>
  <c r="E1391"/>
  <c r="E1243"/>
  <c r="E1029"/>
  <c r="E1040"/>
  <c r="E989"/>
  <c r="E1068"/>
  <c r="E854"/>
  <c r="E512"/>
  <c r="E111"/>
  <c r="E810"/>
  <c r="E1365"/>
  <c r="E1218"/>
  <c r="E1126"/>
  <c r="E666"/>
  <c r="E600"/>
  <c r="E625"/>
  <c r="E242"/>
  <c r="E963"/>
  <c r="E1291"/>
  <c r="E1302"/>
  <c r="E1129"/>
  <c r="E876"/>
  <c r="E375"/>
  <c r="E373"/>
  <c r="E103"/>
  <c r="E964"/>
  <c r="E778"/>
  <c r="E327"/>
  <c r="E22"/>
  <c r="E439"/>
  <c r="E329"/>
  <c r="E737"/>
  <c r="E198"/>
  <c r="E843"/>
  <c r="E1469"/>
  <c r="E965"/>
  <c r="E960"/>
  <c r="E158"/>
  <c r="E1468"/>
  <c r="E1180"/>
  <c r="E403"/>
  <c r="E454"/>
  <c r="E1321"/>
  <c r="E1250"/>
  <c r="E816"/>
  <c r="E1467"/>
  <c r="E565"/>
  <c r="E1108"/>
  <c r="E1273"/>
  <c r="E879"/>
  <c r="E1005"/>
  <c r="E176"/>
  <c r="E1466"/>
  <c r="E1465"/>
  <c r="E215"/>
  <c r="E461"/>
  <c r="E742"/>
  <c r="E394"/>
  <c r="E459"/>
  <c r="E618"/>
  <c r="E556"/>
  <c r="E464"/>
  <c r="E664"/>
  <c r="E1199"/>
  <c r="E222"/>
  <c r="E1393"/>
  <c r="E1304"/>
  <c r="E1103"/>
  <c r="E446"/>
  <c r="E1315"/>
  <c r="E756"/>
  <c r="E1072"/>
  <c r="E1022"/>
  <c r="E754"/>
  <c r="E540"/>
  <c r="E409"/>
  <c r="E596"/>
  <c r="E1051"/>
  <c r="E1464"/>
  <c r="E1130"/>
  <c r="E617"/>
  <c r="E486"/>
  <c r="E641"/>
  <c r="E234"/>
  <c r="E630"/>
  <c r="E840"/>
  <c r="E1306"/>
  <c r="E423"/>
  <c r="E538"/>
  <c r="E1037"/>
  <c r="E665"/>
  <c r="E626"/>
  <c r="E1403"/>
  <c r="E1259"/>
  <c r="E1155"/>
  <c r="E775"/>
  <c r="E21"/>
  <c r="E867"/>
  <c r="E20"/>
  <c r="E19"/>
  <c r="E145"/>
  <c r="E1210"/>
  <c r="E206"/>
  <c r="E884"/>
  <c r="E1083"/>
  <c r="E973"/>
  <c r="E318"/>
  <c r="E1166"/>
  <c r="E1412"/>
  <c r="E1463"/>
  <c r="E1462"/>
  <c r="E1461"/>
  <c r="E1460"/>
  <c r="E380"/>
  <c r="E18"/>
  <c r="E708"/>
  <c r="E1414"/>
  <c r="E1459"/>
  <c r="E1368"/>
  <c r="E1292"/>
  <c r="E1272"/>
  <c r="E1458"/>
  <c r="E1411"/>
  <c r="E1265"/>
  <c r="E1457"/>
  <c r="E761"/>
  <c r="E1182"/>
  <c r="E1456"/>
  <c r="E1043"/>
  <c r="E1455"/>
  <c r="E315"/>
  <c r="E1258"/>
  <c r="E1006"/>
  <c r="E1399"/>
  <c r="E1362"/>
  <c r="E1454"/>
  <c r="E1453"/>
  <c r="E1298"/>
  <c r="E1406"/>
  <c r="E905"/>
  <c r="E1307"/>
  <c r="E1338"/>
  <c r="E287"/>
  <c r="E817"/>
  <c r="E1326"/>
  <c r="E1255"/>
  <c r="E1337"/>
  <c r="E1039"/>
  <c r="E1225"/>
  <c r="E1452"/>
  <c r="E1409"/>
  <c r="E1012"/>
  <c r="E1428"/>
  <c r="E749"/>
  <c r="E1071"/>
  <c r="E1328"/>
  <c r="E325"/>
  <c r="E245"/>
  <c r="E1178"/>
  <c r="E172"/>
  <c r="E277"/>
  <c r="E72"/>
  <c r="E142"/>
  <c r="E564"/>
  <c r="E250"/>
  <c r="E690"/>
  <c r="E1294"/>
  <c r="E398"/>
  <c r="E1261"/>
  <c r="E1217"/>
  <c r="E1384"/>
  <c r="E1092"/>
  <c r="E1227"/>
  <c r="E804"/>
  <c r="E637"/>
  <c r="E738"/>
  <c r="E134"/>
  <c r="E904"/>
  <c r="E633"/>
  <c r="E758"/>
  <c r="E1038"/>
  <c r="E822"/>
  <c r="E306"/>
  <c r="E1373"/>
  <c r="E405"/>
  <c r="E1451"/>
  <c r="E1008"/>
  <c r="E434"/>
  <c r="E693"/>
  <c r="E1110"/>
  <c r="E703"/>
  <c r="E430"/>
  <c r="E1268"/>
  <c r="E1082"/>
  <c r="E1355"/>
  <c r="E653"/>
  <c r="E612"/>
  <c r="E1098"/>
  <c r="E1205"/>
  <c r="E469"/>
  <c r="E983"/>
  <c r="E1069"/>
  <c r="E1372"/>
  <c r="E49"/>
  <c r="E466"/>
  <c r="E714"/>
  <c r="E292"/>
  <c r="E200"/>
  <c r="E827"/>
  <c r="E1050"/>
  <c r="E803"/>
  <c r="E942"/>
  <c r="E1197"/>
  <c r="E70"/>
  <c r="E1157"/>
  <c r="E611"/>
  <c r="E620"/>
  <c r="E80"/>
  <c r="E1077"/>
  <c r="E747"/>
  <c r="E575"/>
  <c r="E832"/>
  <c r="E951"/>
  <c r="E726"/>
  <c r="E1288"/>
  <c r="E47"/>
  <c r="E655"/>
  <c r="E1034"/>
  <c r="E1003"/>
  <c r="E417"/>
  <c r="E1289"/>
  <c r="E484"/>
  <c r="E210"/>
  <c r="E1350"/>
  <c r="E974"/>
  <c r="E174"/>
  <c r="E324"/>
  <c r="E1025"/>
  <c r="E923"/>
  <c r="E1149"/>
  <c r="E212"/>
  <c r="E334"/>
  <c r="E374"/>
  <c r="E629"/>
  <c r="E984"/>
  <c r="E1241"/>
  <c r="E299"/>
  <c r="E1450"/>
  <c r="E400"/>
  <c r="E558"/>
  <c r="E681"/>
  <c r="E1194"/>
  <c r="E171"/>
  <c r="E782"/>
  <c r="E1432"/>
  <c r="E495"/>
  <c r="E1224"/>
  <c r="E671"/>
  <c r="E524"/>
  <c r="E627"/>
  <c r="E1151"/>
  <c r="E729"/>
  <c r="E297"/>
  <c r="E706"/>
  <c r="E856"/>
  <c r="E17"/>
  <c r="E990"/>
  <c r="E954"/>
  <c r="E771"/>
  <c r="E1231"/>
  <c r="E1064"/>
  <c r="E735"/>
  <c r="E491"/>
  <c r="E140"/>
  <c r="E146"/>
  <c r="E828"/>
  <c r="E1253"/>
  <c r="E839"/>
  <c r="E847"/>
  <c r="E928"/>
  <c r="E981"/>
  <c r="E1212"/>
  <c r="E1096"/>
  <c r="E498"/>
  <c r="E889"/>
  <c r="E472"/>
  <c r="E624"/>
  <c r="E432"/>
  <c r="E282"/>
  <c r="E779"/>
  <c r="E354"/>
  <c r="E1283"/>
  <c r="E678"/>
  <c r="E1175"/>
  <c r="E851"/>
  <c r="E505"/>
  <c r="E268"/>
  <c r="E896"/>
  <c r="E410"/>
  <c r="E772"/>
  <c r="E16"/>
  <c r="E275"/>
  <c r="H660" i="18" l="1"/>
  <c r="N561" i="19" s="1"/>
  <c r="H1085" i="18"/>
  <c r="N562" i="19" s="1"/>
  <c r="H104" i="18"/>
  <c r="N51" i="19" s="1"/>
  <c r="H1086" i="18"/>
  <c r="N616" i="19" s="1"/>
  <c r="H1087" i="18"/>
  <c r="N453" i="19" s="1"/>
  <c r="H310" i="18"/>
  <c r="N74" i="19" s="1"/>
  <c r="H311" i="18"/>
  <c r="N454" i="19" s="1"/>
  <c r="H23" i="18"/>
  <c r="N751" i="19" s="1"/>
  <c r="H312" i="18"/>
  <c r="N958" i="19" s="1"/>
  <c r="H1088" i="18"/>
  <c r="N949" i="19" s="1"/>
  <c r="H1089" i="18"/>
  <c r="N15" i="19" s="1"/>
  <c r="H2" i="18"/>
  <c r="N70" i="19" s="1"/>
  <c r="H313" i="18"/>
  <c r="N304" i="19" s="1"/>
  <c r="H314" i="18"/>
  <c r="N167" i="19" s="1"/>
  <c r="H661" i="18"/>
  <c r="N176" i="19" s="1"/>
  <c r="H662" i="18"/>
  <c r="N752" i="19" s="1"/>
  <c r="H663" i="18"/>
  <c r="N839" i="19" s="1"/>
  <c r="H1090" i="18"/>
  <c r="N1226" i="19" s="1"/>
  <c r="H664" i="18"/>
  <c r="N840" i="19" s="1"/>
  <c r="H24" i="18"/>
  <c r="N419" i="19" s="1"/>
  <c r="H1091" i="18"/>
  <c r="N753" i="19" s="1"/>
  <c r="H1401" i="18"/>
  <c r="N1227" i="19" s="1"/>
  <c r="H665" i="18"/>
  <c r="N754" i="19" s="1"/>
  <c r="H666" i="18"/>
  <c r="N563" i="19" s="1"/>
  <c r="H1402" i="18"/>
  <c r="N1228" i="19" s="1"/>
  <c r="H667" i="18"/>
  <c r="N1229" i="19" s="1"/>
  <c r="H105" i="18"/>
  <c r="N959" i="19" s="1"/>
  <c r="H1092" i="18"/>
  <c r="N1230" i="19" s="1"/>
  <c r="H315" i="18"/>
  <c r="N642" i="19" s="1"/>
  <c r="H106" i="18"/>
  <c r="N1231" i="19" s="1"/>
  <c r="H668" i="18"/>
  <c r="N360" i="19" s="1"/>
  <c r="H669" i="18"/>
  <c r="N643" i="19" s="1"/>
  <c r="H316" i="18"/>
  <c r="N922" i="19" s="1"/>
  <c r="H670" i="18"/>
  <c r="N841" i="19" s="1"/>
  <c r="H317" i="18"/>
  <c r="N614" i="19" s="1"/>
  <c r="H671" i="18"/>
  <c r="N1232" i="19" s="1"/>
  <c r="H318" i="18"/>
  <c r="N755" i="19" s="1"/>
  <c r="H672" i="18"/>
  <c r="N379" i="19" s="1"/>
  <c r="H319" i="18"/>
  <c r="N598" i="19" s="1"/>
  <c r="H673" i="18"/>
  <c r="N259" i="19" s="1"/>
  <c r="H1093" i="18"/>
  <c r="N727" i="19" s="1"/>
  <c r="H674" i="18"/>
  <c r="N380" i="19" s="1"/>
  <c r="H675" i="18"/>
  <c r="N1233" i="19" s="1"/>
  <c r="H676" i="18"/>
  <c r="N1234" i="19" s="1"/>
  <c r="H1403" i="18"/>
  <c r="N1235" i="19" s="1"/>
  <c r="H1094" i="18"/>
  <c r="N1236" i="19" s="1"/>
  <c r="H1095" i="18"/>
  <c r="N1237" i="19" s="1"/>
  <c r="H677" i="18"/>
  <c r="N1238" i="19" s="1"/>
  <c r="H1096" i="18"/>
  <c r="N1239" i="19" s="1"/>
  <c r="H678" i="18"/>
  <c r="N1240" i="19" s="1"/>
  <c r="H679" i="18"/>
  <c r="N756" i="19" s="1"/>
  <c r="H25" i="18"/>
  <c r="N1241" i="19" s="1"/>
  <c r="H680" i="18"/>
  <c r="N1242" i="19" s="1"/>
  <c r="H107" i="18"/>
  <c r="N539" i="19" s="1"/>
  <c r="H108" i="18"/>
  <c r="N1243" i="19" s="1"/>
  <c r="H1404" i="18"/>
  <c r="N1244" i="19" s="1"/>
  <c r="H1097" i="18"/>
  <c r="N842" i="19" s="1"/>
  <c r="H681" i="18"/>
  <c r="N1245" i="19" s="1"/>
  <c r="H1405" i="18"/>
  <c r="N843" i="19" s="1"/>
  <c r="H1098" i="18"/>
  <c r="N1246" i="19" s="1"/>
  <c r="H682" i="18"/>
  <c r="N1247" i="19" s="1"/>
  <c r="H683" i="18"/>
  <c r="N923" i="19" s="1"/>
  <c r="H109" i="18"/>
  <c r="N1248" i="19" s="1"/>
  <c r="H1099" i="18"/>
  <c r="N1249" i="19" s="1"/>
  <c r="H1100" i="18"/>
  <c r="N1250" i="19" s="1"/>
  <c r="H320" i="18"/>
  <c r="N381" i="19" s="1"/>
  <c r="H684" i="18"/>
  <c r="N644" i="19" s="1"/>
  <c r="H1406" i="18"/>
  <c r="N1251" i="19" s="1"/>
  <c r="H1101" i="18"/>
  <c r="N844" i="19" s="1"/>
  <c r="H1407" i="18"/>
  <c r="N1252" i="19" s="1"/>
  <c r="H321" i="18"/>
  <c r="N608" i="19" s="1"/>
  <c r="H685" i="18"/>
  <c r="N1253" i="19" s="1"/>
  <c r="H1102" i="18"/>
  <c r="N845" i="19" s="1"/>
  <c r="H322" i="18"/>
  <c r="N757" i="19" s="1"/>
  <c r="H686" i="18"/>
  <c r="N1254" i="19" s="1"/>
  <c r="H1103" i="18"/>
  <c r="N758" i="19" s="1"/>
  <c r="H323" i="18"/>
  <c r="N846" i="19" s="1"/>
  <c r="H1104" i="18"/>
  <c r="N1255" i="19" s="1"/>
  <c r="H1105" i="18"/>
  <c r="N796" i="19" s="1"/>
  <c r="H1106" i="18"/>
  <c r="N1256" i="19" s="1"/>
  <c r="H1107" i="18"/>
  <c r="N1257" i="19" s="1"/>
  <c r="H687" i="18"/>
  <c r="N645" i="19" s="1"/>
  <c r="H1108" i="18"/>
  <c r="N1258" i="19" s="1"/>
  <c r="H1408" i="18"/>
  <c r="N1259" i="19" s="1"/>
  <c r="H110" i="18"/>
  <c r="N1260" i="19" s="1"/>
  <c r="H324" i="18"/>
  <c r="N797" i="19" s="1"/>
  <c r="H1109" i="18"/>
  <c r="N1261" i="19" s="1"/>
  <c r="H325" i="18"/>
  <c r="N19" i="19" s="1"/>
  <c r="H111" i="18"/>
  <c r="N64" i="19" s="1"/>
  <c r="H688" i="18"/>
  <c r="N759" i="19" s="1"/>
  <c r="H689" i="18"/>
  <c r="N564" i="19" s="1"/>
  <c r="H326" i="18"/>
  <c r="N924" i="19" s="1"/>
  <c r="H690" i="18"/>
  <c r="N104" i="19" s="1"/>
  <c r="H26" i="18"/>
  <c r="N1262" i="19" s="1"/>
  <c r="H691" i="18"/>
  <c r="N345" i="19" s="1"/>
  <c r="H327" i="18"/>
  <c r="N925" i="19" s="1"/>
  <c r="H27" i="18"/>
  <c r="N346" i="19" s="1"/>
  <c r="H692" i="18"/>
  <c r="N1263" i="19" s="1"/>
  <c r="H693" i="18"/>
  <c r="N1264" i="19" s="1"/>
  <c r="H1409" i="18"/>
  <c r="N847" i="19" s="1"/>
  <c r="H694" i="18"/>
  <c r="N177" i="19" s="1"/>
  <c r="H328" i="18"/>
  <c r="N646" i="19" s="1"/>
  <c r="H28" i="18"/>
  <c r="N647" i="19" s="1"/>
  <c r="H1110" i="18"/>
  <c r="N960" i="19" s="1"/>
  <c r="H329" i="18"/>
  <c r="N455" i="19" s="1"/>
  <c r="H330" i="18"/>
  <c r="N536" i="19" s="1"/>
  <c r="H1111" i="18"/>
  <c r="N1265" i="19" s="1"/>
  <c r="H1410" i="18"/>
  <c r="N1266" i="19" s="1"/>
  <c r="H695" i="18"/>
  <c r="N382" i="19" s="1"/>
  <c r="H331" i="18"/>
  <c r="N1267" i="19" s="1"/>
  <c r="H112" i="18"/>
  <c r="N409" i="19" s="1"/>
  <c r="H332" i="18"/>
  <c r="N599" i="19" s="1"/>
  <c r="H1112" i="18"/>
  <c r="N760" i="19" s="1"/>
  <c r="H113" i="18"/>
  <c r="N116" i="19" s="1"/>
  <c r="H114" i="18"/>
  <c r="N59" i="19" s="1"/>
  <c r="H696" i="18"/>
  <c r="N1268" i="19" s="1"/>
  <c r="H115" i="18"/>
  <c r="N105" i="19" s="1"/>
  <c r="H1113" i="18"/>
  <c r="N1269" i="19" s="1"/>
  <c r="H116" i="18"/>
  <c r="N52" i="19" s="1"/>
  <c r="H117" i="18"/>
  <c r="N75" i="19" s="1"/>
  <c r="H118" i="18"/>
  <c r="N305" i="19" s="1"/>
  <c r="H29" i="18"/>
  <c r="N42" i="19" s="1"/>
  <c r="H333" i="18"/>
  <c r="N848" i="19" s="1"/>
  <c r="H334" i="18"/>
  <c r="N565" i="19" s="1"/>
  <c r="H1114" i="18"/>
  <c r="N1270" i="19" s="1"/>
  <c r="H30" i="18"/>
  <c r="N129" i="19" s="1"/>
  <c r="H1115" i="18"/>
  <c r="N40" i="19" s="1"/>
  <c r="H335" i="18"/>
  <c r="N130" i="19" s="1"/>
  <c r="H1116" i="18"/>
  <c r="N383" i="19" s="1"/>
  <c r="H1117" i="18"/>
  <c r="N1271" i="19" s="1"/>
  <c r="H1411" i="18"/>
  <c r="N1272" i="19" s="1"/>
  <c r="H119" i="18"/>
  <c r="N456" i="19" s="1"/>
  <c r="H1118" i="18"/>
  <c r="N347" i="19" s="1"/>
  <c r="H1119" i="18"/>
  <c r="N384" i="19" s="1"/>
  <c r="H336" i="18"/>
  <c r="N434" i="19" s="1"/>
  <c r="H337" i="18"/>
  <c r="N306" i="19" s="1"/>
  <c r="H697" i="18"/>
  <c r="N502" i="19" s="1"/>
  <c r="H338" i="18"/>
  <c r="N648" i="19" s="1"/>
  <c r="H120" i="18"/>
  <c r="N13" i="19" s="1"/>
  <c r="H1120" i="18"/>
  <c r="N926" i="19" s="1"/>
  <c r="H1121" i="18"/>
  <c r="N849" i="19" s="1"/>
  <c r="H1122" i="18"/>
  <c r="N850" i="19" s="1"/>
  <c r="H1123" i="18"/>
  <c r="N1273" i="19" s="1"/>
  <c r="H1412" i="18"/>
  <c r="N1274" i="19" s="1"/>
  <c r="H31" i="18"/>
  <c r="N1275" i="19" s="1"/>
  <c r="H1124" i="18"/>
  <c r="N1276" i="19" s="1"/>
  <c r="H1125" i="18"/>
  <c r="N435" i="19" s="1"/>
  <c r="H698" i="18"/>
  <c r="N649" i="19" s="1"/>
  <c r="H699" i="18"/>
  <c r="N798" i="19" s="1"/>
  <c r="H1126" i="18"/>
  <c r="N1277" i="19" s="1"/>
  <c r="H700" i="18"/>
  <c r="N961" i="19" s="1"/>
  <c r="H339" i="18"/>
  <c r="N927" i="19" s="1"/>
  <c r="H1413" i="18"/>
  <c r="N1278" i="19" s="1"/>
  <c r="H340" i="18"/>
  <c r="N851" i="19" s="1"/>
  <c r="H701" i="18"/>
  <c r="N140" i="19" s="1"/>
  <c r="H121" i="18"/>
  <c r="N410" i="19" s="1"/>
  <c r="H702" i="18"/>
  <c r="N43" i="19" s="1"/>
  <c r="H122" i="18"/>
  <c r="N307" i="19" s="1"/>
  <c r="H703" i="18"/>
  <c r="N275" i="19" s="1"/>
  <c r="H1414" i="18"/>
  <c r="N928" i="19" s="1"/>
  <c r="H341" i="18"/>
  <c r="N650" i="19" s="1"/>
  <c r="H704" i="18"/>
  <c r="N503" i="19" s="1"/>
  <c r="H1127" i="18"/>
  <c r="N962" i="19" s="1"/>
  <c r="H1128" i="18"/>
  <c r="N852" i="19" s="1"/>
  <c r="H32" i="18"/>
  <c r="N929" i="19" s="1"/>
  <c r="H342" i="18"/>
  <c r="N420" i="19" s="1"/>
  <c r="H343" i="18"/>
  <c r="N566" i="19" s="1"/>
  <c r="H344" i="18"/>
  <c r="N761" i="19" s="1"/>
  <c r="H345" i="18"/>
  <c r="N799" i="19" s="1"/>
  <c r="H1129" i="18"/>
  <c r="N240" i="19" s="1"/>
  <c r="H123" i="18"/>
  <c r="N567" i="19" s="1"/>
  <c r="H346" i="18"/>
  <c r="N762" i="19" s="1"/>
  <c r="H347" i="18"/>
  <c r="N308" i="19" s="1"/>
  <c r="H705" i="18"/>
  <c r="N703" i="19" s="1"/>
  <c r="H124" i="18"/>
  <c r="N1279" i="19" s="1"/>
  <c r="H3" i="18"/>
  <c r="N227" i="19" s="1"/>
  <c r="H706" i="18"/>
  <c r="N763" i="19" s="1"/>
  <c r="H348" i="18"/>
  <c r="N1280" i="19" s="1"/>
  <c r="H125" i="18"/>
  <c r="N281" i="19" s="1"/>
  <c r="H707" i="18"/>
  <c r="N1281" i="19" s="1"/>
  <c r="H708" i="18"/>
  <c r="N764" i="19" s="1"/>
  <c r="H1130" i="18"/>
  <c r="N765" i="19" s="1"/>
  <c r="H349" i="18"/>
  <c r="N651" i="19" s="1"/>
  <c r="H1415" i="18"/>
  <c r="N1282" i="19" s="1"/>
  <c r="H350" i="18"/>
  <c r="N547" i="19" s="1"/>
  <c r="H709" i="18"/>
  <c r="N853" i="19" s="1"/>
  <c r="H33" i="18"/>
  <c r="N385" i="19" s="1"/>
  <c r="H34" i="18"/>
  <c r="N202" i="19" s="1"/>
  <c r="H126" i="18"/>
  <c r="N1283" i="19" s="1"/>
  <c r="H710" i="18"/>
  <c r="N1284" i="19" s="1"/>
  <c r="H1416" i="18"/>
  <c r="N1285" i="19" s="1"/>
  <c r="H1131" i="18"/>
  <c r="N766" i="19" s="1"/>
  <c r="H35" i="18"/>
  <c r="N652" i="19" s="1"/>
  <c r="H36" i="18"/>
  <c r="N309" i="19" s="1"/>
  <c r="H1132" i="18"/>
  <c r="N260" i="19" s="1"/>
  <c r="H351" i="18"/>
  <c r="N568" i="19" s="1"/>
  <c r="H127" i="18"/>
  <c r="N348" i="19" s="1"/>
  <c r="H352" i="18"/>
  <c r="N1286" i="19" s="1"/>
  <c r="H353" i="18"/>
  <c r="N1287" i="19" s="1"/>
  <c r="H1133" i="18"/>
  <c r="N1288" i="19" s="1"/>
  <c r="H354" i="18"/>
  <c r="N653" i="19" s="1"/>
  <c r="H4" i="18"/>
  <c r="N37" i="19" s="1"/>
  <c r="H1134" i="18"/>
  <c r="N1289" i="19" s="1"/>
  <c r="H711" i="18"/>
  <c r="N963" i="19" s="1"/>
  <c r="H355" i="18"/>
  <c r="N767" i="19" s="1"/>
  <c r="H356" i="18"/>
  <c r="N737" i="19" s="1"/>
  <c r="H357" i="18"/>
  <c r="N88" i="19" s="1"/>
  <c r="H358" i="18"/>
  <c r="N1290" i="19" s="1"/>
  <c r="H712" i="18"/>
  <c r="N1291" i="19" s="1"/>
  <c r="H1135" i="18"/>
  <c r="N930" i="19" s="1"/>
  <c r="H128" i="18"/>
  <c r="N931" i="19" s="1"/>
  <c r="H359" i="18"/>
  <c r="N548" i="19" s="1"/>
  <c r="H713" i="18"/>
  <c r="N932" i="19" s="1"/>
  <c r="H714" i="18"/>
  <c r="N504" i="19" s="1"/>
  <c r="H1136" i="18"/>
  <c r="N1292" i="19" s="1"/>
  <c r="H1137" i="18"/>
  <c r="N854" i="19" s="1"/>
  <c r="H1138" i="18"/>
  <c r="N1293" i="19" s="1"/>
  <c r="H1139" i="18"/>
  <c r="N1294" i="19" s="1"/>
  <c r="H1140" i="18"/>
  <c r="N1295" i="19" s="1"/>
  <c r="H1417" i="18"/>
  <c r="N964" i="19" s="1"/>
  <c r="H360" i="18"/>
  <c r="N768" i="19" s="1"/>
  <c r="H1418" i="18"/>
  <c r="N965" i="19" s="1"/>
  <c r="H129" i="18"/>
  <c r="N1296" i="19" s="1"/>
  <c r="H361" i="18"/>
  <c r="N569" i="19" s="1"/>
  <c r="H1141" i="18"/>
  <c r="N933" i="19" s="1"/>
  <c r="H1419" i="18"/>
  <c r="N1297" i="19" s="1"/>
  <c r="H1142" i="18"/>
  <c r="N1298" i="19" s="1"/>
  <c r="H1420" i="18"/>
  <c r="N855" i="19" s="1"/>
  <c r="H715" i="18"/>
  <c r="N856" i="19" s="1"/>
  <c r="H1143" i="18"/>
  <c r="N1299" i="19" s="1"/>
  <c r="H1144" i="18"/>
  <c r="N1300" i="19" s="1"/>
  <c r="H1145" i="18"/>
  <c r="N1301" i="19" s="1"/>
  <c r="H1146" i="18"/>
  <c r="N704" i="19" s="1"/>
  <c r="H716" i="18"/>
  <c r="N1302" i="19" s="1"/>
  <c r="H1421" i="18"/>
  <c r="N1303" i="19" s="1"/>
  <c r="H362" i="18"/>
  <c r="N1304" i="19" s="1"/>
  <c r="H1147" i="18"/>
  <c r="N1305" i="19" s="1"/>
  <c r="H717" i="18"/>
  <c r="N654" i="19" s="1"/>
  <c r="H718" i="18"/>
  <c r="N1306" i="19" s="1"/>
  <c r="H719" i="18"/>
  <c r="N1307" i="19" s="1"/>
  <c r="H363" i="18"/>
  <c r="N655" i="19" s="1"/>
  <c r="H130" i="18"/>
  <c r="N82" i="19" s="1"/>
  <c r="H1422" i="18"/>
  <c r="N1308" i="19" s="1"/>
  <c r="H364" i="18"/>
  <c r="N386" i="19" s="1"/>
  <c r="H720" i="18"/>
  <c r="N505" i="19" s="1"/>
  <c r="H721" i="18"/>
  <c r="N934" i="19" s="1"/>
  <c r="H365" i="18"/>
  <c r="N83" i="19" s="1"/>
  <c r="H722" i="18"/>
  <c r="N1309" i="19" s="1"/>
  <c r="H723" i="18"/>
  <c r="N656" i="19" s="1"/>
  <c r="H366" i="18"/>
  <c r="N657" i="19" s="1"/>
  <c r="H1423" i="18"/>
  <c r="N570" i="19" s="1"/>
  <c r="H1148" i="18"/>
  <c r="N387" i="19" s="1"/>
  <c r="H1149" i="18"/>
  <c r="N310" i="19" s="1"/>
  <c r="H367" i="18"/>
  <c r="N311" i="19" s="1"/>
  <c r="H724" i="18"/>
  <c r="N977" i="19" s="1"/>
  <c r="H368" i="18"/>
  <c r="N131" i="19" s="1"/>
  <c r="H1150" i="18"/>
  <c r="N421" i="19" s="1"/>
  <c r="H131" i="18"/>
  <c r="N168" i="19" s="1"/>
  <c r="H369" i="18"/>
  <c r="N457" i="19" s="1"/>
  <c r="H1151" i="18"/>
  <c r="N966" i="19" s="1"/>
  <c r="H370" i="18"/>
  <c r="N769" i="19" s="1"/>
  <c r="H725" i="18"/>
  <c r="N1310" i="19" s="1"/>
  <c r="H726" i="18"/>
  <c r="N611" i="19" s="1"/>
  <c r="H132" i="18"/>
  <c r="N1311" i="19" s="1"/>
  <c r="H1152" i="18"/>
  <c r="N506" i="19" s="1"/>
  <c r="H1424" i="18"/>
  <c r="N719" i="19" s="1"/>
  <c r="H133" i="18"/>
  <c r="N84" i="19" s="1"/>
  <c r="H1153" i="18"/>
  <c r="N1312" i="19" s="1"/>
  <c r="H134" i="18"/>
  <c r="N6" i="19" s="1"/>
  <c r="H1154" i="18"/>
  <c r="N600" i="19" s="1"/>
  <c r="H371" i="18"/>
  <c r="N114" i="19" s="1"/>
  <c r="H1155" i="18"/>
  <c r="N388" i="19" s="1"/>
  <c r="H372" i="18"/>
  <c r="N519" i="19" s="1"/>
  <c r="H727" i="18"/>
  <c r="N770" i="19" s="1"/>
  <c r="H728" i="18"/>
  <c r="N1313" i="19" s="1"/>
  <c r="H1156" i="18"/>
  <c r="N1314" i="19" s="1"/>
  <c r="H135" i="18"/>
  <c r="N145" i="19" s="1"/>
  <c r="H729" i="18"/>
  <c r="N389" i="19" s="1"/>
  <c r="H1157" i="18"/>
  <c r="N947" i="19" s="1"/>
  <c r="H5" i="18"/>
  <c r="N239" i="19" s="1"/>
  <c r="H136" i="18"/>
  <c r="N1315" i="19" s="1"/>
  <c r="H730" i="18"/>
  <c r="N1316" i="19" s="1"/>
  <c r="H1158" i="18"/>
  <c r="N334" i="19" s="1"/>
  <c r="H731" i="18"/>
  <c r="N1317" i="19" s="1"/>
  <c r="H1425" i="18"/>
  <c r="N1318" i="19" s="1"/>
  <c r="H732" i="18"/>
  <c r="N571" i="19" s="1"/>
  <c r="H1159" i="18"/>
  <c r="N312" i="19" s="1"/>
  <c r="H373" i="18"/>
  <c r="N520" i="19" s="1"/>
  <c r="H733" i="18"/>
  <c r="N572" i="19" s="1"/>
  <c r="H734" i="18"/>
  <c r="N390" i="19" s="1"/>
  <c r="H735" i="18"/>
  <c r="N117" i="19" s="1"/>
  <c r="H137" i="18"/>
  <c r="N261" i="19" s="1"/>
  <c r="H736" i="18"/>
  <c r="N1319" i="19" s="1"/>
  <c r="H374" i="18"/>
  <c r="N1320" i="19" s="1"/>
  <c r="H375" i="18"/>
  <c r="N1321" i="19" s="1"/>
  <c r="H376" i="18"/>
  <c r="N658" i="19" s="1"/>
  <c r="H1160" i="18"/>
  <c r="N1322" i="19" s="1"/>
  <c r="H1161" i="18"/>
  <c r="N659" i="19" s="1"/>
  <c r="H138" i="18"/>
  <c r="N132" i="19" s="1"/>
  <c r="H1426" i="18"/>
  <c r="N430" i="19" s="1"/>
  <c r="H737" i="18"/>
  <c r="N335" i="19" s="1"/>
  <c r="H1427" i="18"/>
  <c r="N1323" i="19" s="1"/>
  <c r="H738" i="18"/>
  <c r="N458" i="19" s="1"/>
  <c r="H1162" i="18"/>
  <c r="N615" i="19" s="1"/>
  <c r="H1163" i="18"/>
  <c r="N1324" i="19" s="1"/>
  <c r="H1428" i="18"/>
  <c r="N391" i="19" s="1"/>
  <c r="H377" i="18"/>
  <c r="N262" i="19" s="1"/>
  <c r="H139" i="18"/>
  <c r="N573" i="19" s="1"/>
  <c r="H1429" i="18"/>
  <c r="N349" i="19" s="1"/>
  <c r="H739" i="18"/>
  <c r="N1325" i="19" s="1"/>
  <c r="H740" i="18"/>
  <c r="N857" i="19" s="1"/>
  <c r="H1164" i="18"/>
  <c r="N336" i="19" s="1"/>
  <c r="H378" i="18"/>
  <c r="N1326" i="19" s="1"/>
  <c r="H1165" i="18"/>
  <c r="N423" i="19" s="1"/>
  <c r="H741" i="18"/>
  <c r="N1327" i="19" s="1"/>
  <c r="H140" i="18"/>
  <c r="N1328" i="19" s="1"/>
  <c r="H742" i="18"/>
  <c r="N1329" i="19" s="1"/>
  <c r="H379" i="18"/>
  <c r="N660" i="19" s="1"/>
  <c r="H743" i="18"/>
  <c r="N661" i="19" s="1"/>
  <c r="H744" i="18"/>
  <c r="N1330" i="19" s="1"/>
  <c r="H745" i="18"/>
  <c r="N1331" i="19" s="1"/>
  <c r="H1166" i="18"/>
  <c r="N574" i="19" s="1"/>
  <c r="H746" i="18"/>
  <c r="N575" i="19" s="1"/>
  <c r="H1167" i="18"/>
  <c r="N858" i="19" s="1"/>
  <c r="H141" i="18"/>
  <c r="N459" i="19" s="1"/>
  <c r="H37" i="18"/>
  <c r="N203" i="19" s="1"/>
  <c r="H747" i="18"/>
  <c r="N859" i="19" s="1"/>
  <c r="H748" i="18"/>
  <c r="N1332" i="19" s="1"/>
  <c r="H749" i="18"/>
  <c r="N521" i="19" s="1"/>
  <c r="H38" i="18"/>
  <c r="N25" i="19" s="1"/>
  <c r="H1168" i="18"/>
  <c r="N186" i="19" s="1"/>
  <c r="H142" i="18"/>
  <c r="N392" i="19" s="1"/>
  <c r="H143" i="18"/>
  <c r="N1333" i="19" s="1"/>
  <c r="H380" i="18"/>
  <c r="N1334" i="19" s="1"/>
  <c r="H381" i="18"/>
  <c r="N531" i="19" s="1"/>
  <c r="H750" i="18"/>
  <c r="N662" i="19" s="1"/>
  <c r="H1169" i="18"/>
  <c r="N106" i="19" s="1"/>
  <c r="H382" i="18"/>
  <c r="N393" i="19" s="1"/>
  <c r="H383" i="18"/>
  <c r="N1335" i="19" s="1"/>
  <c r="H1430" i="18"/>
  <c r="N576" i="19" s="1"/>
  <c r="H751" i="18"/>
  <c r="N1336" i="19" s="1"/>
  <c r="H384" i="18"/>
  <c r="N80" i="19" s="1"/>
  <c r="H144" i="18"/>
  <c r="N1337" i="19" s="1"/>
  <c r="H39" i="18"/>
  <c r="N220" i="19" s="1"/>
  <c r="H752" i="18"/>
  <c r="N228" i="19" s="1"/>
  <c r="H1170" i="18"/>
  <c r="N771" i="19" s="1"/>
  <c r="H385" i="18"/>
  <c r="N263" i="19" s="1"/>
  <c r="H145" i="18"/>
  <c r="N577" i="19" s="1"/>
  <c r="H1171" i="18"/>
  <c r="N578" i="19" s="1"/>
  <c r="H146" i="18"/>
  <c r="N522" i="19" s="1"/>
  <c r="H1172" i="18"/>
  <c r="N1338" i="19" s="1"/>
  <c r="H147" i="18"/>
  <c r="N579" i="19" s="1"/>
  <c r="H386" i="18"/>
  <c r="N89" i="19" s="1"/>
  <c r="H40" i="18"/>
  <c r="N313" i="19" s="1"/>
  <c r="H753" i="18"/>
  <c r="N800" i="19" s="1"/>
  <c r="H1431" i="18"/>
  <c r="N1339" i="19" s="1"/>
  <c r="H754" i="18"/>
  <c r="N394" i="19" s="1"/>
  <c r="H755" i="18"/>
  <c r="N580" i="19" s="1"/>
  <c r="H387" i="18"/>
  <c r="N978" i="19" s="1"/>
  <c r="H388" i="18"/>
  <c r="N204" i="19" s="1"/>
  <c r="H389" i="18"/>
  <c r="N1340" i="19" s="1"/>
  <c r="H756" i="18"/>
  <c r="N601" i="19" s="1"/>
  <c r="H390" i="18"/>
  <c r="N1341" i="19" s="1"/>
  <c r="H148" i="18"/>
  <c r="N523" i="19" s="1"/>
  <c r="H391" i="18"/>
  <c r="N1342" i="19" s="1"/>
  <c r="H1173" i="18"/>
  <c r="N1343" i="19" s="1"/>
  <c r="H392" i="18"/>
  <c r="N314" i="19" s="1"/>
  <c r="H757" i="18"/>
  <c r="N151" i="19" s="1"/>
  <c r="H758" i="18"/>
  <c r="N315" i="19" s="1"/>
  <c r="H1432" i="18"/>
  <c r="N1344" i="19" s="1"/>
  <c r="H759" i="18"/>
  <c r="N316" i="19" s="1"/>
  <c r="H1174" i="18"/>
  <c r="N967" i="19" s="1"/>
  <c r="H760" i="18"/>
  <c r="N1345" i="19" s="1"/>
  <c r="H149" i="18"/>
  <c r="N460" i="19" s="1"/>
  <c r="H1175" i="18"/>
  <c r="N1346" i="19" s="1"/>
  <c r="H1176" i="18"/>
  <c r="N543" i="19" s="1"/>
  <c r="H393" i="18"/>
  <c r="N1347" i="19" s="1"/>
  <c r="H394" i="18"/>
  <c r="N461" i="19" s="1"/>
  <c r="H395" i="18"/>
  <c r="N860" i="19" s="1"/>
  <c r="H1177" i="18"/>
  <c r="N350" i="19" s="1"/>
  <c r="H761" i="18"/>
  <c r="N264" i="19" s="1"/>
  <c r="H150" i="18"/>
  <c r="N462" i="19" s="1"/>
  <c r="H762" i="18"/>
  <c r="N1348" i="19" s="1"/>
  <c r="H763" i="18"/>
  <c r="N463" i="19" s="1"/>
  <c r="H1178" i="18"/>
  <c r="N663" i="19" s="1"/>
  <c r="H396" i="18"/>
  <c r="N1349" i="19" s="1"/>
  <c r="H397" i="18"/>
  <c r="N705" i="19" s="1"/>
  <c r="H764" i="18"/>
  <c r="N772" i="19" s="1"/>
  <c r="H398" i="18"/>
  <c r="N205" i="19" s="1"/>
  <c r="H765" i="18"/>
  <c r="N1350" i="19" s="1"/>
  <c r="H399" i="18"/>
  <c r="N801" i="19" s="1"/>
  <c r="H1433" i="18"/>
  <c r="N1351" i="19" s="1"/>
  <c r="H766" i="18"/>
  <c r="N861" i="19" s="1"/>
  <c r="H400" i="18"/>
  <c r="N1352" i="19" s="1"/>
  <c r="H401" i="18"/>
  <c r="N524" i="19" s="1"/>
  <c r="H402" i="18"/>
  <c r="N107" i="19" s="1"/>
  <c r="H767" i="18"/>
  <c r="N1353" i="19" s="1"/>
  <c r="H403" i="18"/>
  <c r="N464" i="19" s="1"/>
  <c r="H151" i="18"/>
  <c r="N395" i="19" s="1"/>
  <c r="H768" i="18"/>
  <c r="N862" i="19" s="1"/>
  <c r="H404" i="18"/>
  <c r="N396" i="19" s="1"/>
  <c r="H769" i="18"/>
  <c r="N581" i="19" s="1"/>
  <c r="H6" i="18"/>
  <c r="N802" i="19" s="1"/>
  <c r="H770" i="18"/>
  <c r="N863" i="19" s="1"/>
  <c r="H152" i="18"/>
  <c r="N706" i="19" s="1"/>
  <c r="H41" i="18"/>
  <c r="N664" i="19" s="1"/>
  <c r="H771" i="18"/>
  <c r="N1354" i="19" s="1"/>
  <c r="H153" i="18"/>
  <c r="N206" i="19" s="1"/>
  <c r="H772" i="18"/>
  <c r="N1355" i="19" s="1"/>
  <c r="H1179" i="18"/>
  <c r="N1356" i="19" s="1"/>
  <c r="H154" i="18"/>
  <c r="N582" i="19" s="1"/>
  <c r="H405" i="18"/>
  <c r="N207" i="19" s="1"/>
  <c r="H406" i="18"/>
  <c r="N864" i="19" s="1"/>
  <c r="H773" i="18"/>
  <c r="N1357" i="19" s="1"/>
  <c r="H1180" i="18"/>
  <c r="N583" i="19" s="1"/>
  <c r="H1181" i="18"/>
  <c r="N1358" i="19" s="1"/>
  <c r="H1182" i="18"/>
  <c r="N1359" i="19" s="1"/>
  <c r="H1434" i="18"/>
  <c r="N1360" i="19" s="1"/>
  <c r="H1435" i="18"/>
  <c r="N1361" i="19" s="1"/>
  <c r="H1436" i="18"/>
  <c r="N1362" i="19" s="1"/>
  <c r="H1183" i="18"/>
  <c r="N979" i="19" s="1"/>
  <c r="H42" i="18"/>
  <c r="N612" i="19" s="1"/>
  <c r="H1437" i="18"/>
  <c r="N865" i="19" s="1"/>
  <c r="H1438" i="18"/>
  <c r="N1363" i="19" s="1"/>
  <c r="H1184" i="18"/>
  <c r="N866" i="19" s="1"/>
  <c r="H407" i="18"/>
  <c r="N867" i="19" s="1"/>
  <c r="H774" i="18"/>
  <c r="N1364" i="19" s="1"/>
  <c r="H1185" i="18"/>
  <c r="N1365" i="19" s="1"/>
  <c r="H1439" i="18"/>
  <c r="N1366" i="19" s="1"/>
  <c r="H155" i="18"/>
  <c r="N720" i="19" s="1"/>
  <c r="H1186" i="18"/>
  <c r="N1367" i="19" s="1"/>
  <c r="H408" i="18"/>
  <c r="N465" i="19" s="1"/>
  <c r="H409" i="18"/>
  <c r="N525" i="19" s="1"/>
  <c r="H410" i="18"/>
  <c r="N1368" i="19" s="1"/>
  <c r="H775" i="18"/>
  <c r="N1369" i="19" s="1"/>
  <c r="H1440" i="18"/>
  <c r="N1370" i="19" s="1"/>
  <c r="H1187" i="18"/>
  <c r="N584" i="19" s="1"/>
  <c r="H1188" i="18"/>
  <c r="N773" i="19" s="1"/>
  <c r="H1189" i="18"/>
  <c r="N602" i="19" s="1"/>
  <c r="H1441" i="18"/>
  <c r="N1371" i="19" s="1"/>
  <c r="H411" i="18"/>
  <c r="N169" i="19" s="1"/>
  <c r="H1442" i="18"/>
  <c r="N1372" i="19" s="1"/>
  <c r="H1190" i="18"/>
  <c r="N774" i="19" s="1"/>
  <c r="H776" i="18"/>
  <c r="N868" i="19" s="1"/>
  <c r="H1443" i="18"/>
  <c r="N935" i="19" s="1"/>
  <c r="H1191" i="18"/>
  <c r="N1373" i="19" s="1"/>
  <c r="H43" i="18"/>
  <c r="N544" i="19" s="1"/>
  <c r="H412" i="18"/>
  <c r="N1374" i="19" s="1"/>
  <c r="H777" i="18"/>
  <c r="N869" i="19" s="1"/>
  <c r="H413" i="18"/>
  <c r="N317" i="19" s="1"/>
  <c r="H1192" i="18"/>
  <c r="N1375" i="19" s="1"/>
  <c r="H156" i="18"/>
  <c r="N545" i="19" s="1"/>
  <c r="H778" i="18"/>
  <c r="N980" i="19" s="1"/>
  <c r="H157" i="18"/>
  <c r="N870" i="19" s="1"/>
  <c r="H1444" i="18"/>
  <c r="N1376" i="19" s="1"/>
  <c r="H414" i="18"/>
  <c r="N1377" i="19" s="1"/>
  <c r="H779" i="18"/>
  <c r="N951" i="19" s="1"/>
  <c r="H415" i="18"/>
  <c r="N665" i="19" s="1"/>
  <c r="H416" i="18"/>
  <c r="N1378" i="19" s="1"/>
  <c r="H44" i="18"/>
  <c r="N361" i="19" s="1"/>
  <c r="H417" i="18"/>
  <c r="N436" i="19" s="1"/>
  <c r="H780" i="18"/>
  <c r="N276" i="19" s="1"/>
  <c r="H7" i="18"/>
  <c r="N731" i="19" s="1"/>
  <c r="H1445" i="18"/>
  <c r="N237" i="19" s="1"/>
  <c r="H781" i="18"/>
  <c r="N871" i="19" s="1"/>
  <c r="H418" i="18"/>
  <c r="N1379" i="19" s="1"/>
  <c r="H8" i="18"/>
  <c r="N721" i="19" s="1"/>
  <c r="H45" i="18"/>
  <c r="N666" i="19" s="1"/>
  <c r="H782" i="18"/>
  <c r="N872" i="19" s="1"/>
  <c r="H783" i="18"/>
  <c r="N936" i="19" s="1"/>
  <c r="H158" i="18"/>
  <c r="N803" i="19" s="1"/>
  <c r="H1193" i="18"/>
  <c r="N65" i="19" s="1"/>
  <c r="H784" i="18"/>
  <c r="N318" i="19" s="1"/>
  <c r="H419" i="18"/>
  <c r="N873" i="19" s="1"/>
  <c r="H1446" i="18"/>
  <c r="N1380" i="19" s="1"/>
  <c r="H1194" i="18"/>
  <c r="N27" i="19" s="1"/>
  <c r="H46" i="18"/>
  <c r="N76" i="19" s="1"/>
  <c r="H420" i="18"/>
  <c r="N1381" i="19" s="1"/>
  <c r="H47" i="18"/>
  <c r="N181" i="19" s="1"/>
  <c r="H1195" i="18"/>
  <c r="N585" i="19" s="1"/>
  <c r="H785" i="18"/>
  <c r="N208" i="19" s="1"/>
  <c r="H1196" i="18"/>
  <c r="N229" i="19" s="1"/>
  <c r="H159" i="18"/>
  <c r="N319" i="19" s="1"/>
  <c r="H421" i="18"/>
  <c r="N1382" i="19" s="1"/>
  <c r="H1197" i="18"/>
  <c r="N1383" i="19" s="1"/>
  <c r="H422" i="18"/>
  <c r="N466" i="19" s="1"/>
  <c r="H786" i="18"/>
  <c r="N937" i="19" s="1"/>
  <c r="H423" i="18"/>
  <c r="N467" i="19" s="1"/>
  <c r="H787" i="18"/>
  <c r="N707" i="19" s="1"/>
  <c r="H1198" i="18"/>
  <c r="N603" i="19" s="1"/>
  <c r="H1199" i="18"/>
  <c r="N775" i="19" s="1"/>
  <c r="H1200" i="18"/>
  <c r="N1384" i="19" s="1"/>
  <c r="H788" i="18"/>
  <c r="N32" i="19" s="1"/>
  <c r="H1201" i="18"/>
  <c r="N946" i="19" s="1"/>
  <c r="H424" i="18"/>
  <c r="N1385" i="19" s="1"/>
  <c r="H1202" i="18"/>
  <c r="N1386" i="19" s="1"/>
  <c r="H160" i="18"/>
  <c r="N351" i="19" s="1"/>
  <c r="H1203" i="18"/>
  <c r="N874" i="19" s="1"/>
  <c r="H789" i="18"/>
  <c r="N85" i="19" s="1"/>
  <c r="H1204" i="18"/>
  <c r="N133" i="19" s="1"/>
  <c r="H425" i="18"/>
  <c r="N875" i="19" s="1"/>
  <c r="H790" i="18"/>
  <c r="N468" i="19" s="1"/>
  <c r="H161" i="18"/>
  <c r="N320" i="19" s="1"/>
  <c r="H791" i="18"/>
  <c r="N586" i="19" s="1"/>
  <c r="H792" i="18"/>
  <c r="N1387" i="19" s="1"/>
  <c r="H426" i="18"/>
  <c r="N9" i="19" s="1"/>
  <c r="H1205" i="18"/>
  <c r="N532" i="19" s="1"/>
  <c r="H1206" i="18"/>
  <c r="N1388" i="19" s="1"/>
  <c r="H793" i="18"/>
  <c r="N667" i="19" s="1"/>
  <c r="H427" i="18"/>
  <c r="N321" i="19" s="1"/>
  <c r="H428" i="18"/>
  <c r="N1389" i="19" s="1"/>
  <c r="H794" i="18"/>
  <c r="N1390" i="19" s="1"/>
  <c r="H429" i="18"/>
  <c r="N469" i="19" s="1"/>
  <c r="H1447" i="18"/>
  <c r="N876" i="19" s="1"/>
  <c r="H162" i="18"/>
  <c r="N668" i="19" s="1"/>
  <c r="H430" i="18"/>
  <c r="N708" i="19" s="1"/>
  <c r="H795" i="18"/>
  <c r="N287" i="19" s="1"/>
  <c r="H431" i="18"/>
  <c r="N187" i="19" s="1"/>
  <c r="H1448" i="18"/>
  <c r="N1391" i="19" s="1"/>
  <c r="H1449" i="18"/>
  <c r="N1392" i="19" s="1"/>
  <c r="H1450" i="18"/>
  <c r="N669" i="19" s="1"/>
  <c r="H796" i="18"/>
  <c r="N1393" i="19" s="1"/>
  <c r="H1207" i="18"/>
  <c r="N728" i="19" s="1"/>
  <c r="H797" i="18"/>
  <c r="N470" i="19" s="1"/>
  <c r="H1208" i="18"/>
  <c r="N78" i="19" s="1"/>
  <c r="H432" i="18"/>
  <c r="N1394" i="19" s="1"/>
  <c r="H163" i="18"/>
  <c r="N411" i="19" s="1"/>
  <c r="H433" i="18"/>
  <c r="N431" i="19" s="1"/>
  <c r="H434" i="18"/>
  <c r="N146" i="19" s="1"/>
  <c r="H1209" i="18"/>
  <c r="N352" i="19" s="1"/>
  <c r="H1210" i="18"/>
  <c r="N432" i="19" s="1"/>
  <c r="H435" i="18"/>
  <c r="N877" i="19" s="1"/>
  <c r="H436" i="18"/>
  <c r="N670" i="19" s="1"/>
  <c r="H798" i="18"/>
  <c r="N1395" i="19" s="1"/>
  <c r="H799" i="18"/>
  <c r="N1396" i="19" s="1"/>
  <c r="H164" i="18"/>
  <c r="N587" i="19" s="1"/>
  <c r="H800" i="18"/>
  <c r="N1397" i="19" s="1"/>
  <c r="H48" i="18"/>
  <c r="N526" i="19" s="1"/>
  <c r="H165" i="18"/>
  <c r="N94" i="19" s="1"/>
  <c r="H49" i="18"/>
  <c r="N1398" i="19" s="1"/>
  <c r="H437" i="18"/>
  <c r="N878" i="19" s="1"/>
  <c r="H801" i="18"/>
  <c r="N188" i="19" s="1"/>
  <c r="H50" i="18"/>
  <c r="N671" i="19" s="1"/>
  <c r="H802" i="18"/>
  <c r="N981" i="19" s="1"/>
  <c r="H803" i="18"/>
  <c r="N507" i="19" s="1"/>
  <c r="H804" i="18"/>
  <c r="N776" i="19" s="1"/>
  <c r="H1211" i="18"/>
  <c r="N1399" i="19" s="1"/>
  <c r="H1451" i="18"/>
  <c r="N1400" i="19" s="1"/>
  <c r="H1452" i="18"/>
  <c r="N21" i="19" s="1"/>
  <c r="H805" i="18"/>
  <c r="N1401" i="19" s="1"/>
  <c r="H1212" i="18"/>
  <c r="N879" i="19" s="1"/>
  <c r="H438" i="18"/>
  <c r="N672" i="19" s="1"/>
  <c r="H439" i="18"/>
  <c r="N322" i="19" s="1"/>
  <c r="H806" i="18"/>
  <c r="N673" i="19" s="1"/>
  <c r="H807" i="18"/>
  <c r="N1402" i="19" s="1"/>
  <c r="H1213" i="18"/>
  <c r="N1403" i="19" s="1"/>
  <c r="H1453" i="18"/>
  <c r="N1404" i="19" s="1"/>
  <c r="H51" i="18"/>
  <c r="N527" i="19" s="1"/>
  <c r="H1454" i="18"/>
  <c r="N1405" i="19" s="1"/>
  <c r="H1214" i="18"/>
  <c r="N1406" i="19" s="1"/>
  <c r="H166" i="18"/>
  <c r="N323" i="19" s="1"/>
  <c r="H1215" i="18"/>
  <c r="N29" i="19" s="1"/>
  <c r="H808" i="18"/>
  <c r="N1407" i="19" s="1"/>
  <c r="H440" i="18"/>
  <c r="N1408" i="19" s="1"/>
  <c r="H441" i="18"/>
  <c r="N1409" i="19" s="1"/>
  <c r="H167" i="18"/>
  <c r="N50" i="19" s="1"/>
  <c r="H1216" i="18"/>
  <c r="N1410" i="19" s="1"/>
  <c r="H809" i="18"/>
  <c r="N588" i="19" s="1"/>
  <c r="H810" i="18"/>
  <c r="N147" i="19" s="1"/>
  <c r="H168" i="18"/>
  <c r="N471" i="19" s="1"/>
  <c r="H169" i="18"/>
  <c r="N880" i="19" s="1"/>
  <c r="H811" i="18"/>
  <c r="N1411" i="19" s="1"/>
  <c r="H170" i="18"/>
  <c r="N178" i="19" s="1"/>
  <c r="H171" i="18"/>
  <c r="N604" i="19" s="1"/>
  <c r="H1217" i="18"/>
  <c r="N1412" i="19" s="1"/>
  <c r="H442" i="18"/>
  <c r="N324" i="19" s="1"/>
  <c r="H1218" i="18"/>
  <c r="N1413" i="19" s="1"/>
  <c r="H812" i="18"/>
  <c r="N1415" i="19" s="1"/>
  <c r="H813" i="18"/>
  <c r="N86" i="19" s="1"/>
  <c r="H1219" i="18"/>
  <c r="N67" i="19" s="1"/>
  <c r="H814" i="18"/>
  <c r="N881" i="19" s="1"/>
  <c r="H815" i="18"/>
  <c r="N353" i="19" s="1"/>
  <c r="H443" i="18"/>
  <c r="N1416" i="19" s="1"/>
  <c r="H52" i="18"/>
  <c r="N60" i="19" s="1"/>
  <c r="H816" i="18"/>
  <c r="N968" i="19" s="1"/>
  <c r="H1220" i="18"/>
  <c r="N1417" i="19" s="1"/>
  <c r="H444" i="18"/>
  <c r="N938" i="19" s="1"/>
  <c r="H445" i="18"/>
  <c r="N508" i="19" s="1"/>
  <c r="H1221" i="18"/>
  <c r="N412" i="19" s="1"/>
  <c r="H446" i="18"/>
  <c r="N472" i="19" s="1"/>
  <c r="H817" i="18"/>
  <c r="N1418" i="19" s="1"/>
  <c r="H53" i="18"/>
  <c r="N1419" i="19" s="1"/>
  <c r="H818" i="18"/>
  <c r="N473" i="19" s="1"/>
  <c r="H819" i="18"/>
  <c r="N1421" i="19" s="1"/>
  <c r="H54" i="18"/>
  <c r="N4" i="19" s="1"/>
  <c r="H1455" i="18"/>
  <c r="N325" i="19" s="1"/>
  <c r="H447" i="18"/>
  <c r="N1422" i="19" s="1"/>
  <c r="H820" i="18"/>
  <c r="N366" i="19" s="1"/>
  <c r="H821" i="18"/>
  <c r="N605" i="19" s="1"/>
  <c r="H822" i="18"/>
  <c r="N209" i="19" s="1"/>
  <c r="H55" i="18"/>
  <c r="N709" i="19" s="1"/>
  <c r="H172" i="18"/>
  <c r="N882" i="19" s="1"/>
  <c r="H1222" i="18"/>
  <c r="N883" i="19" s="1"/>
  <c r="H173" i="18"/>
  <c r="N674" i="19" s="1"/>
  <c r="H823" i="18"/>
  <c r="N939" i="19" s="1"/>
  <c r="H448" i="18"/>
  <c r="N170" i="19" s="1"/>
  <c r="H449" i="18"/>
  <c r="N940" i="19" s="1"/>
  <c r="H1456" i="18"/>
  <c r="N1423" i="19" s="1"/>
  <c r="H1457" i="18"/>
  <c r="N1424" i="19" s="1"/>
  <c r="H1458" i="18"/>
  <c r="N1425" i="19" s="1"/>
  <c r="H450" i="18"/>
  <c r="N777" i="19" s="1"/>
  <c r="H1223" i="18"/>
  <c r="N1426" i="19" s="1"/>
  <c r="H9" i="18"/>
  <c r="N5" i="19" s="1"/>
  <c r="H10" i="18"/>
  <c r="N941" i="19" s="1"/>
  <c r="H1224" i="18"/>
  <c r="N540" i="19" s="1"/>
  <c r="H824" i="18"/>
  <c r="N675" i="19" s="1"/>
  <c r="H1225" i="18"/>
  <c r="N1427" i="19" s="1"/>
  <c r="H825" i="18"/>
  <c r="N1428" i="19" s="1"/>
  <c r="H174" i="18"/>
  <c r="N509" i="19" s="1"/>
  <c r="H175" i="18"/>
  <c r="N1429" i="19" s="1"/>
  <c r="H451" i="18"/>
  <c r="N1430" i="19" s="1"/>
  <c r="H826" i="18"/>
  <c r="N1431" i="19" s="1"/>
  <c r="H452" i="18"/>
  <c r="N210" i="19" s="1"/>
  <c r="H827" i="18"/>
  <c r="N1432" i="19" s="1"/>
  <c r="H176" i="18"/>
  <c r="N1433" i="19" s="1"/>
  <c r="H177" i="18"/>
  <c r="N134" i="19" s="1"/>
  <c r="H453" i="18"/>
  <c r="N1434" i="19" s="1"/>
  <c r="H454" i="18"/>
  <c r="N1435" i="19" s="1"/>
  <c r="H178" i="18"/>
  <c r="N290" i="19" s="1"/>
  <c r="H1226" i="18"/>
  <c r="N942" i="19" s="1"/>
  <c r="H455" i="18"/>
  <c r="N1436" i="19" s="1"/>
  <c r="H56" i="18"/>
  <c r="N326" i="19" s="1"/>
  <c r="H57" i="18"/>
  <c r="N354" i="19" s="1"/>
  <c r="H828" i="18"/>
  <c r="N884" i="19" s="1"/>
  <c r="H1227" i="18"/>
  <c r="N1437" i="19" s="1"/>
  <c r="H829" i="18"/>
  <c r="N265" i="19" s="1"/>
  <c r="H58" i="18"/>
  <c r="N474" i="19" s="1"/>
  <c r="H830" i="18"/>
  <c r="N885" i="19" s="1"/>
  <c r="H456" i="18"/>
  <c r="N886" i="19" s="1"/>
  <c r="H831" i="18"/>
  <c r="N1438" i="19" s="1"/>
  <c r="H832" i="18"/>
  <c r="N982" i="19" s="1"/>
  <c r="H179" i="18"/>
  <c r="N1439" i="19" s="1"/>
  <c r="H457" i="18"/>
  <c r="N1440" i="19" s="1"/>
  <c r="H180" i="18"/>
  <c r="N1441" i="19" s="1"/>
  <c r="H458" i="18"/>
  <c r="N778" i="19" s="1"/>
  <c r="H181" i="18"/>
  <c r="N1442" i="19" s="1"/>
  <c r="H1228" i="18"/>
  <c r="N1443" i="19" s="1"/>
  <c r="H182" i="18"/>
  <c r="N676" i="19" s="1"/>
  <c r="H183" i="18"/>
  <c r="N738" i="19" s="1"/>
  <c r="H459" i="18"/>
  <c r="N1444" i="19" s="1"/>
  <c r="H184" i="18"/>
  <c r="N606" i="19" s="1"/>
  <c r="H59" i="18"/>
  <c r="N475" i="19" s="1"/>
  <c r="H833" i="18"/>
  <c r="N1445" i="19" s="1"/>
  <c r="H185" i="18"/>
  <c r="N266" i="19" s="1"/>
  <c r="H1229" i="18"/>
  <c r="N533" i="19" s="1"/>
  <c r="H460" i="18"/>
  <c r="N1446" i="19" s="1"/>
  <c r="H461" i="18"/>
  <c r="N1447" i="19" s="1"/>
  <c r="H186" i="18"/>
  <c r="N1448" i="19" s="1"/>
  <c r="H187" i="18"/>
  <c r="N677" i="19" s="1"/>
  <c r="H1459" i="18"/>
  <c r="N1449" i="19" s="1"/>
  <c r="H462" i="18"/>
  <c r="N327" i="19" s="1"/>
  <c r="E233" i="3" l="1"/>
  <c r="E365"/>
  <c r="E932"/>
  <c r="E883"/>
  <c r="E589"/>
  <c r="E1135"/>
  <c r="E530"/>
  <c r="E635"/>
  <c r="E985"/>
  <c r="E1107"/>
  <c r="E660"/>
  <c r="E1270"/>
  <c r="E959"/>
  <c r="E561"/>
  <c r="E1226"/>
  <c r="E909"/>
  <c r="E319"/>
  <c r="E73"/>
  <c r="E407"/>
  <c r="E74"/>
  <c r="E579"/>
  <c r="E98"/>
  <c r="E1388"/>
  <c r="E300"/>
  <c r="E578"/>
  <c r="E1279"/>
  <c r="E182"/>
  <c r="E519"/>
  <c r="E1301"/>
  <c r="E850"/>
  <c r="E549"/>
  <c r="E1359"/>
  <c r="E320"/>
  <c r="E154"/>
  <c r="E487"/>
  <c r="E326"/>
  <c r="E1248"/>
  <c r="E848"/>
  <c r="E337"/>
  <c r="E340"/>
  <c r="E416"/>
  <c r="E584"/>
  <c r="E1104"/>
  <c r="E837"/>
  <c r="E918"/>
  <c r="E501"/>
  <c r="E247"/>
  <c r="E310"/>
  <c r="E1440"/>
  <c r="E1325"/>
  <c r="E1282"/>
  <c r="E972"/>
  <c r="E853"/>
  <c r="E835"/>
  <c r="E199"/>
  <c r="E1136"/>
  <c r="E644"/>
  <c r="E280"/>
  <c r="E570"/>
  <c r="E186"/>
  <c r="E834"/>
  <c r="E537"/>
  <c r="E1148"/>
  <c r="E286"/>
  <c r="E52"/>
  <c r="E1117"/>
  <c r="E331"/>
  <c r="E442"/>
  <c r="E506"/>
  <c r="E265"/>
  <c r="E554"/>
  <c r="E219"/>
  <c r="E838"/>
  <c r="E1016"/>
  <c r="E763"/>
  <c r="E811"/>
  <c r="E301"/>
  <c r="E1041"/>
  <c r="E999"/>
  <c r="E291"/>
  <c r="E1164"/>
  <c r="E881"/>
  <c r="E323"/>
  <c r="E130"/>
  <c r="E658"/>
  <c r="E1385"/>
  <c r="E485"/>
  <c r="E892"/>
  <c r="E415"/>
  <c r="E104"/>
  <c r="E642"/>
  <c r="E124"/>
  <c r="E71"/>
  <c r="E488"/>
  <c r="E7"/>
  <c r="E6"/>
  <c r="E455"/>
  <c r="E823"/>
  <c r="E721"/>
  <c r="E797"/>
  <c r="E228"/>
  <c r="E68"/>
  <c r="E560"/>
  <c r="E230"/>
  <c r="E207"/>
  <c r="E545"/>
  <c r="E725"/>
  <c r="E1439"/>
  <c r="E1400"/>
  <c r="E1141"/>
  <c r="E1159"/>
  <c r="E168"/>
  <c r="E661"/>
  <c r="E934"/>
  <c r="E818"/>
  <c r="E912"/>
  <c r="E105"/>
  <c r="E953"/>
  <c r="E957"/>
  <c r="E746"/>
  <c r="E927"/>
  <c r="E1023"/>
  <c r="E1230"/>
  <c r="E605"/>
  <c r="E129"/>
  <c r="E1361"/>
  <c r="E1156"/>
  <c r="E841"/>
  <c r="E195"/>
  <c r="E252"/>
  <c r="E208"/>
  <c r="E402"/>
  <c r="E1198"/>
  <c r="E894"/>
  <c r="E1081"/>
  <c r="E86"/>
  <c r="E1195"/>
  <c r="E755"/>
  <c r="E1296"/>
  <c r="E900"/>
  <c r="E673"/>
  <c r="E583"/>
  <c r="E1341"/>
  <c r="E799"/>
  <c r="E857"/>
  <c r="E458"/>
  <c r="E1420"/>
  <c r="E559"/>
  <c r="E513"/>
  <c r="E574"/>
  <c r="E281"/>
  <c r="E1269"/>
  <c r="E852"/>
  <c r="E692"/>
  <c r="E411"/>
  <c r="E646"/>
  <c r="E950"/>
  <c r="E613"/>
  <c r="E128"/>
  <c r="E362"/>
  <c r="E1168"/>
  <c r="E683"/>
  <c r="E1007"/>
  <c r="E946"/>
  <c r="E338"/>
  <c r="E316"/>
  <c r="E527"/>
  <c r="E1421"/>
  <c r="E887"/>
  <c r="E662"/>
  <c r="E163"/>
  <c r="E1161"/>
  <c r="E65"/>
  <c r="E924"/>
  <c r="E562"/>
  <c r="E821"/>
  <c r="E387"/>
  <c r="E520"/>
  <c r="E705"/>
  <c r="E1416"/>
  <c r="E11"/>
  <c r="E926"/>
  <c r="E1260"/>
  <c r="E568"/>
  <c r="E700"/>
  <c r="E249"/>
  <c r="E1162"/>
  <c r="E1257"/>
  <c r="E1142"/>
  <c r="E517"/>
  <c r="E123"/>
  <c r="E279"/>
  <c r="E84"/>
  <c r="E141"/>
  <c r="E489"/>
  <c r="E1441"/>
  <c r="E451"/>
  <c r="E791"/>
  <c r="E153"/>
  <c r="E699"/>
  <c r="E526"/>
  <c r="E1252"/>
  <c r="E1208"/>
  <c r="E1150"/>
  <c r="E4"/>
  <c r="E482"/>
  <c r="E136"/>
  <c r="E1435"/>
  <c r="E471"/>
  <c r="E807"/>
  <c r="E1000"/>
  <c r="E1177"/>
  <c r="E869"/>
  <c r="E238"/>
  <c r="E82"/>
  <c r="E806"/>
  <c r="E328"/>
  <c r="E920"/>
  <c r="E1042"/>
  <c r="E243"/>
  <c r="E1015"/>
  <c r="E197"/>
  <c r="E610"/>
  <c r="E276"/>
  <c r="E1353"/>
  <c r="E359"/>
  <c r="E1004"/>
  <c r="E14"/>
  <c r="E270"/>
  <c r="E1062"/>
  <c r="E1089"/>
  <c r="E408"/>
  <c r="E83"/>
  <c r="E113"/>
  <c r="E314"/>
  <c r="E159"/>
  <c r="E1145"/>
  <c r="E1401"/>
  <c r="E969"/>
  <c r="E1047"/>
  <c r="E1445"/>
  <c r="E1053"/>
  <c r="E1097"/>
  <c r="E10"/>
  <c r="E1127"/>
  <c r="E608"/>
  <c r="E723"/>
  <c r="E829"/>
  <c r="E557"/>
  <c r="E367"/>
  <c r="E366"/>
  <c r="E1371"/>
  <c r="E798"/>
  <c r="E710"/>
  <c r="E296"/>
  <c r="E202"/>
  <c r="E679"/>
  <c r="E1234"/>
  <c r="E379"/>
  <c r="E599"/>
  <c r="E939"/>
  <c r="E77"/>
  <c r="E1442"/>
  <c r="E303"/>
  <c r="E441"/>
  <c r="E508"/>
  <c r="E1357"/>
  <c r="E381"/>
  <c r="E170"/>
  <c r="E226"/>
  <c r="E1287"/>
  <c r="E687"/>
  <c r="E1308"/>
  <c r="E1143"/>
  <c r="E541"/>
  <c r="E707"/>
  <c r="E122"/>
  <c r="E50"/>
  <c r="E577"/>
  <c r="E179"/>
  <c r="E948"/>
  <c r="E357"/>
  <c r="E943"/>
  <c r="E5"/>
  <c r="E1106"/>
  <c r="E929"/>
  <c r="E861"/>
  <c r="E289"/>
  <c r="E534"/>
  <c r="E139"/>
  <c r="E59"/>
  <c r="E468"/>
  <c r="E438"/>
  <c r="E695"/>
  <c r="E273"/>
  <c r="E590"/>
  <c r="E425"/>
  <c r="E650"/>
  <c r="E592"/>
  <c r="E676"/>
  <c r="E1167"/>
  <c r="E57"/>
  <c r="E1367"/>
  <c r="E437"/>
  <c r="E1244"/>
  <c r="E808"/>
  <c r="E855"/>
  <c r="E1165"/>
  <c r="E1158"/>
  <c r="E1079"/>
  <c r="E1027"/>
  <c r="E1063"/>
  <c r="E978"/>
  <c r="E1434"/>
  <c r="E1204"/>
  <c r="E833"/>
  <c r="E256"/>
  <c r="E994"/>
  <c r="E313"/>
  <c r="E689"/>
  <c r="E728"/>
  <c r="E907"/>
  <c r="E1228"/>
  <c r="E119"/>
  <c r="E173"/>
  <c r="E1278"/>
  <c r="E157"/>
  <c r="E1206"/>
  <c r="E795"/>
  <c r="E496"/>
  <c r="E15"/>
  <c r="E271"/>
  <c r="E602"/>
  <c r="E178"/>
  <c r="E522"/>
  <c r="E118"/>
  <c r="E1010"/>
  <c r="E514"/>
  <c r="E336"/>
  <c r="E1238"/>
  <c r="E181"/>
  <c r="E262"/>
  <c r="E1332"/>
  <c r="E1426"/>
  <c r="E322"/>
  <c r="E255"/>
  <c r="E1222"/>
  <c r="E64"/>
  <c r="E793"/>
  <c r="E192"/>
  <c r="E450"/>
  <c r="E1340"/>
  <c r="E719"/>
  <c r="E1055"/>
  <c r="E278"/>
  <c r="E1375"/>
  <c r="E1048"/>
  <c r="E456"/>
  <c r="E532"/>
  <c r="E1427"/>
  <c r="E1172"/>
  <c r="E78"/>
  <c r="E846"/>
  <c r="E1392"/>
  <c r="E223"/>
  <c r="E686"/>
  <c r="E61"/>
  <c r="E885"/>
  <c r="E1276"/>
  <c r="E264"/>
  <c r="E819"/>
  <c r="E1075"/>
  <c r="E1376"/>
  <c r="E997"/>
  <c r="E1429"/>
  <c r="E1320"/>
  <c r="E266"/>
  <c r="E1387"/>
  <c r="E875"/>
  <c r="E1093"/>
  <c r="E95"/>
  <c r="E285"/>
  <c r="E214"/>
  <c r="E321"/>
  <c r="E789"/>
  <c r="E956"/>
  <c r="E670"/>
  <c r="E9"/>
  <c r="E269"/>
  <c r="E1119"/>
  <c r="E349"/>
  <c r="E1124"/>
  <c r="E93"/>
  <c r="E1443"/>
  <c r="E389"/>
  <c r="E543"/>
  <c r="E1026"/>
  <c r="E201"/>
  <c r="E339"/>
  <c r="E474"/>
  <c r="E877"/>
  <c r="E110"/>
  <c r="E509"/>
  <c r="E739"/>
  <c r="E476"/>
  <c r="E76"/>
  <c r="E768"/>
  <c r="E976"/>
  <c r="E1221"/>
  <c r="E259"/>
  <c r="E938"/>
  <c r="E418"/>
  <c r="E1424"/>
  <c r="E152"/>
  <c r="E92"/>
  <c r="E698"/>
  <c r="E1086"/>
  <c r="E1318"/>
  <c r="E734"/>
  <c r="E1335"/>
  <c r="E777"/>
  <c r="E1345"/>
  <c r="E766"/>
  <c r="E757"/>
  <c r="E1348"/>
  <c r="E101"/>
  <c r="E908"/>
  <c r="E765"/>
  <c r="E648"/>
  <c r="E863"/>
  <c r="E901"/>
  <c r="E615"/>
  <c r="E1389"/>
  <c r="E370"/>
  <c r="E891"/>
  <c r="E1369"/>
  <c r="E1173"/>
  <c r="E893"/>
  <c r="E213"/>
  <c r="E1262"/>
  <c r="E639"/>
  <c r="E1121"/>
  <c r="E542"/>
  <c r="E3"/>
  <c r="E1415"/>
  <c r="E864"/>
  <c r="E916"/>
  <c r="E515"/>
  <c r="E504"/>
  <c r="E936"/>
  <c r="E1275"/>
  <c r="E1140"/>
  <c r="E360"/>
  <c r="E744"/>
  <c r="E217"/>
  <c r="E161"/>
  <c r="E1192"/>
  <c r="E831"/>
  <c r="E607"/>
  <c r="E85"/>
  <c r="E993"/>
  <c r="E294"/>
  <c r="E1447"/>
  <c r="E56"/>
  <c r="E190"/>
  <c r="E1153"/>
  <c r="E1386"/>
  <c r="E311"/>
  <c r="E1213"/>
  <c r="E305"/>
  <c r="E492"/>
  <c r="E96"/>
  <c r="E1102"/>
  <c r="E352"/>
  <c r="E132"/>
  <c r="E1352"/>
  <c r="E582"/>
  <c r="E133"/>
  <c r="E878"/>
  <c r="E1425"/>
  <c r="E966"/>
  <c r="E412"/>
  <c r="E55"/>
  <c r="E160"/>
  <c r="E727"/>
  <c r="E868"/>
  <c r="E1354"/>
  <c r="E218"/>
  <c r="E53"/>
  <c r="E1433"/>
  <c r="E1188"/>
  <c r="E428"/>
  <c r="E1125"/>
  <c r="E1446"/>
  <c r="E1444"/>
  <c r="E1114"/>
  <c r="E1309"/>
  <c r="E830"/>
  <c r="E1019"/>
  <c r="E523"/>
  <c r="E396"/>
  <c r="E1322"/>
  <c r="E13"/>
  <c r="E1185"/>
  <c r="E1312"/>
  <c r="E1448"/>
  <c r="E741"/>
  <c r="E566"/>
  <c r="E730"/>
  <c r="E382"/>
  <c r="E1116"/>
  <c r="E180"/>
  <c r="E452"/>
  <c r="E845"/>
  <c r="E1254"/>
  <c r="E802"/>
  <c r="E79"/>
  <c r="E717"/>
  <c r="E1220"/>
  <c r="E12"/>
  <c r="E1449"/>
  <c r="E1249"/>
  <c r="E774"/>
  <c r="E941"/>
  <c r="E1207"/>
  <c r="E1058"/>
  <c r="E1236"/>
  <c r="E480"/>
  <c r="E60"/>
  <c r="E573"/>
  <c r="E603"/>
  <c r="E470"/>
  <c r="E1056"/>
  <c r="E1189"/>
  <c r="E1193"/>
  <c r="E696"/>
  <c r="E1410"/>
  <c r="E1246"/>
  <c r="E447"/>
  <c r="E786"/>
  <c r="E1398"/>
  <c r="E1067"/>
  <c r="E169"/>
  <c r="E890"/>
  <c r="E1109"/>
  <c r="E232"/>
  <c r="E967"/>
  <c r="E1021"/>
  <c r="E88"/>
  <c r="E1105"/>
  <c r="E240"/>
  <c r="E712"/>
  <c r="E1187"/>
  <c r="E796"/>
  <c r="E445"/>
  <c r="E1032"/>
  <c r="E117"/>
  <c r="E1237"/>
  <c r="E1060"/>
  <c r="E419"/>
  <c r="E125"/>
  <c r="E260"/>
  <c r="E914"/>
  <c r="E555"/>
  <c r="E769"/>
  <c r="E69"/>
  <c r="E1316"/>
  <c r="E209"/>
  <c r="E166"/>
  <c r="E1233"/>
  <c r="E657"/>
  <c r="E467"/>
  <c r="E849"/>
  <c r="E100"/>
  <c r="E343"/>
  <c r="E1327"/>
  <c r="E457"/>
  <c r="E342"/>
  <c r="E162"/>
  <c r="E114"/>
  <c r="E748"/>
  <c r="E8"/>
  <c r="E917"/>
  <c r="E244"/>
  <c r="E177"/>
  <c r="E1115"/>
  <c r="E1374"/>
  <c r="E715"/>
  <c r="E888"/>
  <c r="E986"/>
  <c r="E1263"/>
  <c r="E1183"/>
  <c r="E356"/>
  <c r="E344"/>
  <c r="E115"/>
  <c r="E257"/>
  <c r="E429"/>
  <c r="E1305"/>
  <c r="E571"/>
  <c r="E1438"/>
  <c r="E732"/>
  <c r="E216"/>
  <c r="E1437"/>
  <c r="E1132"/>
  <c r="E1303"/>
  <c r="E1317"/>
  <c r="E204"/>
  <c r="E874"/>
  <c r="E601"/>
  <c r="E1299"/>
  <c r="E919"/>
  <c r="E1074"/>
  <c r="E991"/>
  <c r="E576"/>
  <c r="E363"/>
  <c r="E377"/>
  <c r="E813"/>
  <c r="E274"/>
  <c r="E295"/>
  <c r="E572"/>
  <c r="E1014"/>
  <c r="E680"/>
  <c r="E1436"/>
  <c r="E1087"/>
  <c r="E263"/>
  <c r="E790"/>
  <c r="E569"/>
  <c r="E135"/>
  <c r="E353"/>
  <c r="E414"/>
  <c r="E1013"/>
  <c r="E384"/>
  <c r="U23" i="1" l="1"/>
  <c r="R23"/>
  <c r="O23"/>
  <c r="P23" l="1"/>
  <c r="V23"/>
  <c r="Q23"/>
  <c r="S23"/>
  <c r="T23"/>
  <c r="H1083" i="18" l="1"/>
  <c r="N749" i="19" s="1"/>
  <c r="H1084" i="18"/>
  <c r="N1223" i="19" s="1"/>
  <c r="H653" i="18"/>
  <c r="N956" i="19" s="1"/>
  <c r="H654" i="18"/>
  <c r="N501" i="19" s="1"/>
  <c r="H655" i="18"/>
  <c r="N1224" i="19" s="1"/>
  <c r="H656" i="18"/>
  <c r="N957" i="19" s="1"/>
  <c r="H1400" i="18"/>
  <c r="N1225" i="19" s="1"/>
  <c r="H22" i="18"/>
  <c r="N408" i="19" s="1"/>
  <c r="H657" i="18"/>
  <c r="N518" i="19" s="1"/>
  <c r="H102" i="18"/>
  <c r="N452" i="19" s="1"/>
  <c r="H308" i="18"/>
  <c r="N185" i="19" s="1"/>
  <c r="H103" i="18"/>
  <c r="N378" i="19" s="1"/>
  <c r="H658" i="18"/>
  <c r="N976" i="19" s="1"/>
  <c r="H309" i="18"/>
  <c r="N750" i="19" s="1"/>
  <c r="H659" i="18"/>
  <c r="N838" i="19" s="1"/>
  <c r="H1082" i="18"/>
  <c r="N748" i="19" s="1"/>
  <c r="E606" i="3" l="1"/>
  <c r="E720"/>
  <c r="E99"/>
  <c r="E1360"/>
  <c r="E815"/>
  <c r="E652"/>
  <c r="E1138"/>
  <c r="E248"/>
  <c r="E2"/>
  <c r="E335"/>
  <c r="E1256"/>
  <c r="E345"/>
  <c r="E656"/>
  <c r="E616"/>
  <c r="E317"/>
  <c r="E931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H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C14" i="23" s="1"/>
  <c r="W3" i="1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3">
    <webPr sourceData="1" xl2000="1" url="http://justdata.yuanta.com.tw/z/zc/zcl/zcl.djhtm?a=6210&amp;b=2" htmlTables="1"/>
  </connection>
  <connection id="4" name="連線100" type="4" refreshedVersion="3">
    <webPr sourceData="1" xl2000="1" url="http://justdata.yuanta.com.tw/z/zc/zcl/zcl.djhtm?a=3044&amp;b=2" htmlTables="1"/>
  </connection>
  <connection id="5" name="連線101" type="4" refreshedVersion="3">
    <webPr sourceData="1" xl2000="1" url="http://justdata.yuanta.com.tw/z/zc/zcl/zcl.djhtm?a=4919&amp;b=2" htmlTables="1"/>
  </connection>
  <connection id="6" name="連線102" type="4" refreshedVersion="3">
    <webPr sourceData="1" xl2000="1" url="http://justdata.yuanta.com.tw/z/zc/zcl/zcl.djhtm?a=2458&amp;b=2" htmlTables="1"/>
  </connection>
  <connection id="7" name="連線1024" type="4" refreshedVersion="0" background="1">
    <webPr url="http://www.emega.com.tw/z/zc/zch/zch_2108.djhtm" htmlTables="1" htmlFormat="all"/>
  </connection>
  <connection id="8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9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0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1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2" name="連線1152" type="4" refreshedVersion="0" background="1">
    <webPr url="http://tw.stock.yahoo.com/q/q?s=8341" htmlTables="1" htmlFormat="all"/>
  </connection>
  <connection id="13" name="連線119" type="4" refreshedVersion="0" background="1">
    <webPr url="http://justdata.yuanta.com.tw/z/zc/zcq/zcq_2637.asp.htm" htmlTables="1" htmlFormat="all"/>
  </connection>
  <connection id="14" name="連線12" type="4" refreshedVersion="3">
    <webPr sourceData="1" xl2000="1" url="http://justdata.yuanta.com.tw/z/zc/zcl/zcl.djhtm?a=3490&amp;b=2" htmlTables="1"/>
  </connection>
  <connection id="15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6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7" name="連線134" type="4" refreshedVersion="0" background="1">
    <webPr url="http://justdata.yuanta.com.tw/z/zc/zcp/zcpa/zcpa_4947.asp.htm" htmlTables="1" htmlFormat="all"/>
  </connection>
  <connection id="18" name="連線1389" type="4" refreshedVersion="0" background="1">
    <webPr url="http://www.emega.com.tw/z/zc/zcn/zcn.djhtm?a=6431&amp;b=4" htmlTables="1" htmlFormat="all"/>
  </connection>
  <connection id="19" name="連線14" type="4" refreshedVersion="0" background="1">
    <webPr url="http://www.cnyes.com/twstock/Technical/3587.htm" htmlTables="1" htmlFormat="all"/>
  </connection>
  <connection id="20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21" name="連線15" type="4" refreshedVersion="3">
    <webPr sourceData="1" xl2000="1" url="http://justdata.yuanta.com.tw/z/zc/zcl/zcl.djhtm?a=1340&amp;b=2" htmlTables="1"/>
  </connection>
  <connection id="22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23" name="連線155" type="4" refreshedVersion="0" background="1">
    <webPr url="http://www.tdcc.com.tw/smWeb/QryStock.jsp?SCA_DATE=20151206&amp;SqlMethod=StockNo&amp;StockNo=1262&amp;StockName=&amp;sub=%ACd%B8%DF" htmlTables="1" htmlFormat="all"/>
  </connection>
  <connection id="24" name="連線1567" type="4" refreshedVersion="0" background="1">
    <webPr url="https://www.stockdog.com.tw/m/index.php?type=0&amp;sid=1109" htmlTables="1" htmlFormat="all"/>
  </connection>
  <connection id="25" name="連線16" type="4" refreshedVersion="0" background="1">
    <webPr url="http://www.cnyes.com/twstock/Technical/2313.htm" htmlTables="1" htmlFormat="all"/>
  </connection>
  <connection id="26" name="連線1636" type="4" refreshedVersion="0" background="1">
    <webPr url="http://justdata.yuanta.com.tw/z/zc/zcq/zcq_.asp.htm" htmlTables="1" htmlFormat="all"/>
  </connection>
  <connection id="27" name="連線17" type="4" refreshedVersion="0" background="1">
    <webPr url="http://justdata.yuanta.com.tw/z/zc/zc3/zc3_9946.asp.htm" htmlTables="1" htmlFormat="all"/>
  </connection>
  <connection id="28" name="連線1723" type="4" refreshedVersion="0" background="1">
    <webPr url="http://justdata.yuanta.com.tw/z/zc/zcq/zcq_8039.asp.htm" htmlTables="1" htmlFormat="all"/>
  </connection>
  <connection id="29" name="連線1724" type="4" refreshedVersion="0" background="1">
    <webPr url="http://justdata.yuanta.com.tw/z/zc/zcq/zcq_2231.asp.htm" htmlTables="1" htmlFormat="all"/>
  </connection>
  <connection id="30" name="連線1734" type="4" refreshedVersion="0" background="1">
    <webPr url="http://justdata.yuanta.com.tw/z/zc/zcp/zcpa/zcpa_6213.asp.htm" htmlTables="1" htmlFormat="all"/>
  </connection>
  <connection id="31" name="連線1749" type="4" refreshedVersion="0" background="1">
    <webPr url="http://justdata.yuanta.com.tw/z/zc/zcq/zcq_2489.asp.htm" htmlTables="1" htmlFormat="all"/>
  </connection>
  <connection id="32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33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34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35" name="連線1799" type="4" refreshedVersion="0" background="1">
    <webPr url="http://justdata.yuanta.com.tw/z/zc/zcq/zcq_1452.asp.htm" htmlTables="1" htmlFormat="all"/>
  </connection>
  <connection id="36" name="連線18" type="4" refreshedVersion="3">
    <webPr sourceData="1" xl2000="1" url="http://justdata.yuanta.com.tw/z/zc/zcl/zcl.djhtm?a=3564&amp;b=2" htmlTables="1"/>
  </connection>
  <connection id="37" name="連線184" type="4" refreshedVersion="0" background="1">
    <webPr url="http://www.cnyes.com/twstock/Technical/8928.htm" htmlTables="1" htmlFormat="all"/>
  </connection>
  <connection id="38" name="連線1870" type="4" refreshedVersion="0" background="1">
    <webPr url="http://stockchannel.sinotrade.com.tw/z/zc/zca/zca_61393.djhtm" htmlTables="1" htmlFormat="all"/>
  </connection>
  <connection id="39" name="連線1871" type="4" refreshedVersion="0" background="1">
    <webPr url="http://stockchannel.sinotrade.com.tw/z/zc/zca/zca_61703.djhtm" htmlTables="1" htmlFormat="all"/>
  </connection>
  <connection id="40" name="連線1872" type="4" refreshedVersion="0" background="1">
    <webPr url="http://stockchannel.sinotrade.com.tw/z/zc/zca/zca_61775.djhtm" htmlTables="1" htmlFormat="all"/>
  </connection>
  <connection id="41" name="連線1873" type="4" refreshedVersion="0" background="1">
    <webPr url="http://stockchannel.sinotrade.com.tw/z/zc/zca/zca_61776.djhtm" htmlTables="1" htmlFormat="all"/>
  </connection>
  <connection id="42" name="連線1874" type="4" refreshedVersion="0" background="1">
    <webPr url="http://stockchannel.sinotrade.com.tw/z/zc/zca/zca_61841.djhtm" htmlTables="1" htmlFormat="all"/>
  </connection>
  <connection id="43" name="連線1875" type="4" refreshedVersion="0" background="1">
    <webPr url="http://stockchannel.sinotrade.com.tw/z/zc/zca/zca_61904.djhtm" htmlTables="1" htmlFormat="all"/>
  </connection>
  <connection id="44" name="連線1876" type="4" refreshedVersion="0" background="1">
    <webPr url="http://stockchannel.sinotrade.com.tw/z/zc/zca/zca_62264.djhtm" htmlTables="1" htmlFormat="all"/>
  </connection>
  <connection id="45" name="連線1877" type="4" refreshedVersion="0" background="1">
    <webPr url="http://stockchannel.sinotrade.com.tw/z/zc/zca/zca_62641.djhtm" htmlTables="1" htmlFormat="all"/>
  </connection>
  <connection id="46" name="連線1878" type="4" refreshedVersion="0" background="1">
    <webPr url="http://stockchannel.sinotrade.com.tw/z/zc/zca/zca_62754.djhtm" htmlTables="1" htmlFormat="all"/>
  </connection>
  <connection id="47" name="連線1879" type="4" refreshedVersion="0" background="1">
    <webPr url="http://stockchannel.sinotrade.com.tw/z/zc/zca/zca_62852.djhtm" htmlTables="1" htmlFormat="all"/>
  </connection>
  <connection id="48" name="連線1880" type="4" refreshedVersion="0" background="1">
    <webPr url="http://stockchannel.sinotrade.com.tw/z/zc/zca/zca_62874.djhtm" htmlTables="1" htmlFormat="all"/>
  </connection>
  <connection id="49" name="連線1881" type="4" refreshedVersion="0" background="1">
    <webPr url="http://stockchannel.sinotrade.com.tw/z/zc/zca/zca_66032.djhtm" htmlTables="1" htmlFormat="all"/>
  </connection>
  <connection id="50" name="連線1894" type="4" refreshedVersion="0" background="1">
    <webPr url="http://stockchannel.sinotrade.com.tw/z/zc/zca/zca_37021.djhtm" htmlTables="1" htmlFormat="all"/>
  </connection>
  <connection id="51" name="連線1895" type="4" refreshedVersion="0" background="1">
    <webPr url="http://stockchannel.sinotrade.com.tw/z/zc/zca/zca_43066.djhtm" htmlTables="1" htmlFormat="all"/>
  </connection>
  <connection id="52" name="連線1896" type="4" refreshedVersion="0" background="1">
    <webPr url="http://stockchannel.sinotrade.com.tw/z/zc/zca/zca_45322.djhtm" htmlTables="1" htmlFormat="all"/>
  </connection>
  <connection id="53" name="連線1897" type="4" refreshedVersion="0" background="1">
    <webPr url="http://stockchannel.sinotrade.com.tw/z/zc/zca/zca_49561.djhtm" htmlTables="1" htmlFormat="all"/>
  </connection>
  <connection id="54" name="連線1898" type="4" refreshedVersion="0" background="1">
    <webPr url="http://stockchannel.sinotrade.com.tw/z/zc/zca/zca_52133.djhtm" htmlTables="1" htmlFormat="all"/>
  </connection>
  <connection id="55" name="連線1899" type="4" refreshedVersion="0" background="1">
    <webPr url="http://stockchannel.sinotrade.com.tw/z/zc/zca/zca_52134.djhtm" htmlTables="1" htmlFormat="all"/>
  </connection>
  <connection id="56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57" name="連線1900" type="4" refreshedVersion="0" background="1">
    <webPr url="http://stockchannel.sinotrade.com.tw/z/zc/zca/zca_52591.djhtm" htmlTables="1" htmlFormat="all"/>
  </connection>
  <connection id="58" name="連線1901" type="4" refreshedVersion="0" background="1">
    <webPr url="http://stockchannel.sinotrade.com.tw/z/zc/zca/zca_61761.djhtm" htmlTables="1" htmlFormat="all"/>
  </connection>
  <connection id="59" name="連線1902" type="4" refreshedVersion="0" background="1">
    <webPr url="http://stockchannel.sinotrade.com.tw/z/zc/zca/zca_62874.djhtm" htmlTables="1" htmlFormat="all"/>
  </connection>
  <connection id="60" name="連線1903" type="4" refreshedVersion="0" background="1">
    <webPr url="http://stockchannel.sinotrade.com.tw/z/zc/zca/zca_12181.djhtm" htmlTables="1" htmlFormat="all"/>
  </connection>
  <connection id="61" name="連線1906" type="4" refreshedVersion="0" background="1">
    <webPr url="http://stockchannel.sinotrade.com.tw/z/zc/zca/zca_62852.djhtm" htmlTables="1" htmlFormat="all"/>
  </connection>
  <connection id="62" name="連線1907" type="4" refreshedVersion="0" background="1">
    <webPr url="http://stockchannel.sinotrade.com.tw/z/zc/zca/zca_62852.djhtm" htmlTables="1" htmlFormat="all"/>
  </connection>
  <connection id="63" name="連線1933" type="4" refreshedVersion="0" background="1">
    <webPr url="http://stockchannel.sinotrade.com.tw/z/zc/zca/zca_15831.djhtm" htmlTables="1" htmlFormat="all"/>
  </connection>
  <connection id="64" name="連線1934" type="4" refreshedVersion="0" background="1">
    <webPr url="http://stockchannel.sinotrade.com.tw/z/zc/zca/zca_16261.djhtm" htmlTables="1" htmlFormat="all"/>
  </connection>
  <connection id="65" name="連線1935" type="4" refreshedVersion="0" background="1">
    <webPr url="http://stockchannel.sinotrade.com.tw/z/zc/zca/zca_18081.djhtm" htmlTables="1" htmlFormat="all"/>
  </connection>
  <connection id="66" name="連線1936" type="4" refreshedVersion="0" background="1">
    <webPr url="http://stockchannel.sinotrade.com.tw/z/zc/zca/zca_20314.djhtm" htmlTables="1" htmlFormat="all"/>
  </connection>
  <connection id="67" name="連線1937" type="4" refreshedVersion="0" background="1">
    <webPr url="http://stockchannel.sinotrade.com.tw/z/zc/zca/zca_21151.djhtm" htmlTables="1" htmlFormat="all"/>
  </connection>
  <connection id="68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69" name="連線1939" type="4" refreshedVersion="0" background="1">
    <webPr url="http://stockchannel.sinotrade.com.tw/z/zc/zca/zca_24391.djhtm" htmlTables="1" htmlFormat="all"/>
  </connection>
  <connection id="70" name="連線1940" type="4" refreshedVersion="0" background="1">
    <webPr url="http://stockchannel.sinotrade.com.tw/z/zc/zca/zca_28884.djhtm" htmlTables="1" htmlFormat="all"/>
  </connection>
  <connection id="71" name="連線1941" type="4" refreshedVersion="0" background="1">
    <webPr url="http://stockchannel.sinotrade.com.tw/z/zc/zca/zca_32881.djhtm" htmlTables="1" htmlFormat="all"/>
  </connection>
  <connection id="72" name="連線1942" type="4" refreshedVersion="0" background="1">
    <webPr url="http://stockchannel.sinotrade.com.tw/z/zc/zca/zca_33393.djhtm" htmlTables="1" htmlFormat="all"/>
  </connection>
  <connection id="73" name="連線1943" type="4" refreshedVersion="0" background="1">
    <webPr url="http://stockchannel.sinotrade.com.tw/z/zc/zca/zca_33835.djhtm" htmlTables="1" htmlFormat="all"/>
  </connection>
  <connection id="74" name="連線1944" type="4" refreshedVersion="0" background="1">
    <webPr url="http://stockchannel.sinotrade.com.tw/z/zc/zca/zca_35523.djhtm" htmlTables="1" htmlFormat="all"/>
  </connection>
  <connection id="75" name="連線1945" type="4" refreshedVersion="0" background="1">
    <webPr url="http://stockchannel.sinotrade.com.tw/z/zc/zca/zca_36982.djhtm" htmlTables="1" htmlFormat="all"/>
  </connection>
  <connection id="76" name="連線1946" type="4" refreshedVersion="0" background="1">
    <webPr url="http://stockchannel.sinotrade.com.tw/z/zc/zca/zca_41134.djhtm" htmlTables="1" htmlFormat="all"/>
  </connection>
  <connection id="77" name="連線1947" type="4" refreshedVersion="0" background="1">
    <webPr url="http://stockchannel.sinotrade.com.tw/z/zc/zca/zca_49063.djhtm" htmlTables="1" htmlFormat="all"/>
  </connection>
  <connection id="78" name="連線1948" type="4" refreshedVersion="0" background="1">
    <webPr url="http://stockchannel.sinotrade.com.tw/z/zc/zca/zca_49161.djhtm" htmlTables="1" htmlFormat="all"/>
  </connection>
  <connection id="79" name="連線196" type="4" refreshedVersion="0" background="1">
    <webPr url="http://www.emega.com.tw/z/zc/zch/zch_6171.djhtm" htmlTables="1" htmlFormat="all"/>
  </connection>
  <connection id="80" name="連線1963" type="4" refreshedVersion="0" background="1">
    <webPr url="http://stockchannel.sinotrade.com.tw/z/zc/zca/zca_24063.djhtm" htmlTables="1" htmlFormat="all"/>
  </connection>
  <connection id="81" name="連線1964" type="4" refreshedVersion="0" background="1">
    <webPr url="http://stockchannel.sinotrade.com.tw/z/zc/zca/zca_24060.djhtm" htmlTables="1" htmlFormat="all"/>
  </connection>
  <connection id="82" name="連線1965" type="4" refreshedVersion="0" background="1">
    <webPr url="http://stockchannel.sinotrade.com.tw/z/zc/zca/zca_24193.djhtm" htmlTables="1" htmlFormat="all"/>
  </connection>
  <connection id="83" name="連線1966" type="4" refreshedVersion="0" background="1">
    <webPr url="http://www.emega.com.tw/z/zc/zch/zch_1521.djhtm" htmlTables="1" htmlFormat="all"/>
  </connection>
  <connection id="84" name="連線1987" type="4" refreshedVersion="0" background="1">
    <webPr url="http://stockchannel.sinotrade.com.tw/z/zc/zca/zca_32881.djhtm" htmlTables="1" htmlFormat="all"/>
  </connection>
  <connection id="85" name="連線1988" type="4" refreshedVersion="0" background="1">
    <webPr url="http://stockchannel.sinotrade.com.tw/z/zc/zca/zca_33393.djhtm" htmlTables="1" htmlFormat="all"/>
  </connection>
  <connection id="86" name="連線2" type="4" refreshedVersion="0" background="1">
    <webPr url="http://justdata.yuanta.com.tw/z/zc/zcq/zcq_5457.asp.htm" htmlTables="1" htmlFormat="all"/>
  </connection>
  <connection id="87" name="連線20" type="4" refreshedVersion="0" background="1">
    <webPr url="http://www.emega.com.tw/z/zc/zch/zch_1409.djhtm" htmlTables="1" htmlFormat="all"/>
  </connection>
  <connection id="88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89" name="連線204" type="4" refreshedVersion="0" background="1">
    <webPr url="http://www.emega.com.tw/z/zc/zch/zch_2428.djhtm" htmlTables="1" htmlFormat="all"/>
  </connection>
  <connection id="90" name="連線2048" type="4" refreshedVersion="0" background="1">
    <webPr url="http://stockchannel.sinotrade.com.tw/z/zc/zca/zca_36801.djhtm" htmlTables="1" htmlFormat="all"/>
  </connection>
  <connection id="91" name="連線2049" type="4" refreshedVersion="0" background="1">
    <webPr url="http://stockchannel.sinotrade.com.tw/z/zc/zca/zca_37021.djhtm" htmlTables="1" htmlFormat="all"/>
  </connection>
  <connection id="92" name="連線2050" type="4" refreshedVersion="0" background="1">
    <webPr url="http://stockchannel.sinotrade.com.tw/z/zc/zca/zca_43066.djhtm" htmlTables="1" htmlFormat="all"/>
  </connection>
  <connection id="93" name="連線2051" type="4" refreshedVersion="0" background="1">
    <webPr url="http://stockchannel.sinotrade.com.tw/z/zc/zca/zca_45322.djhtm" htmlTables="1" htmlFormat="all"/>
  </connection>
  <connection id="94" name="連線2052" type="4" refreshedVersion="0" background="1">
    <webPr url="http://stockchannel.sinotrade.com.tw/z/zc/zca/zca_49561.djhtm" htmlTables="1" htmlFormat="all"/>
  </connection>
  <connection id="95" name="連線2053" type="4" refreshedVersion="0" background="1">
    <webPr url="http://stockchannel.sinotrade.com.tw/z/zc/zca/zca_52133.djhtm" htmlTables="1" htmlFormat="all"/>
  </connection>
  <connection id="96" name="連線2054" type="4" refreshedVersion="0" background="1">
    <webPr url="http://stockchannel.sinotrade.com.tw/z/zc/zca/zca_52134.djhtm" htmlTables="1" htmlFormat="all"/>
  </connection>
  <connection id="97" name="連線2055" type="4" refreshedVersion="0" background="1">
    <webPr url="http://stockchannel.sinotrade.com.tw/z/zc/zca/zca_52591.djhtm" htmlTables="1" htmlFormat="all"/>
  </connection>
  <connection id="98" name="連線2056" type="4" refreshedVersion="0" background="1">
    <webPr url="http://stockchannel.sinotrade.com.tw/z/zc/zca/zca_61761.djhtm" htmlTables="1" htmlFormat="all"/>
  </connection>
  <connection id="99" name="連線2057" type="4" refreshedVersion="0" background="1">
    <webPr url="http://stockchannel.sinotrade.com.tw/z/zc/zca/zca_62874.djhtm" htmlTables="1" htmlFormat="all"/>
  </connection>
  <connection id="100" name="連線208" type="4" refreshedVersion="0" background="1">
    <webPr url="http://www.emega.com.tw/z/zc/zch/zch_8906.djhtm" htmlTables="1" htmlFormat="all"/>
  </connection>
  <connection id="101" name="連線2094" type="4" refreshedVersion="0" background="1">
    <webPr url="http://stockchannel.sinotrade.com.tw/z/zc/zca/zca_33835.djhtm" htmlTables="1" htmlFormat="all"/>
  </connection>
  <connection id="102" name="連線2095" type="4" refreshedVersion="0" background="1">
    <webPr url="http://stockchannel.sinotrade.com.tw/z/zc/zca/zca_35523.djhtm" htmlTables="1" htmlFormat="all"/>
  </connection>
  <connection id="103" name="連線2096" type="4" refreshedVersion="0" background="1">
    <webPr url="http://stockchannel.sinotrade.com.tw/z/zc/zca/zca_36982.djhtm" htmlTables="1" htmlFormat="all"/>
  </connection>
  <connection id="104" name="連線2097" type="4" refreshedVersion="0" background="1">
    <webPr url="http://stockchannel.sinotrade.com.tw/z/zc/zca/zca_41134.djhtm" htmlTables="1" htmlFormat="all"/>
  </connection>
  <connection id="105" name="連線2098" type="4" refreshedVersion="0" background="1">
    <webPr url="http://stockchannel.sinotrade.com.tw/z/zc/zca/zca_49063.djhtm" htmlTables="1" htmlFormat="all"/>
  </connection>
  <connection id="106" name="連線2099" type="4" refreshedVersion="0" background="1">
    <webPr url="http://stockchannel.sinotrade.com.tw/z/zc/zca/zca_49161.djhtm" htmlTables="1" htmlFormat="all"/>
  </connection>
  <connection id="107" name="連線21" type="4" refreshedVersion="3">
    <webPr sourceData="1" xl2000="1" url="http://justdata.yuanta.com.tw/z/zc/zcl/zcl.djhtm?a=6269&amp;b=2" htmlTables="1"/>
  </connection>
  <connection id="108" name="連線2100" type="4" refreshedVersion="0" background="1">
    <webPr url="http://stockchannel.sinotrade.com.tw/z/zc/zca/zca_55291.djhtm" htmlTables="1" htmlFormat="all"/>
  </connection>
  <connection id="109" name="連線2101" type="4" refreshedVersion="0" background="1">
    <webPr url="http://stockchannel.sinotrade.com.tw/z/zc/zca/zca_62383.djhtm" htmlTables="1" htmlFormat="all"/>
  </connection>
  <connection id="110" name="連線2102" type="4" refreshedVersion="0" background="1">
    <webPr url="http://stockchannel.sinotrade.com.tw/z/zc/zca/zca_62711.djhtm" htmlTables="1" htmlFormat="all"/>
  </connection>
  <connection id="11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1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13" name="連線22" type="4" refreshedVersion="3">
    <webPr sourceData="1" xl2000="1" url="http://justdata.yuanta.com.tw/z/zc/zcl/zcl.djhtm?a=8429&amp;b=2" htmlTables="1"/>
  </connection>
  <connection id="114" name="連線2200" type="4" refreshedVersion="0" background="1">
    <webPr url="http://stockchannel.sinotrade.com.tw/z/zc/zca/zca_17152.djhtm" htmlTables="1" htmlFormat="all"/>
  </connection>
  <connection id="115" name="連線23" type="4" refreshedVersion="0" background="1">
    <webPr url="http://www.emega.com.tw/z/zc/zch/zch_1104.djhtm" htmlTables="1" htmlFormat="all"/>
  </connection>
  <connection id="11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17" name="連線24" type="4" refreshedVersion="3">
    <webPr sourceData="1" xl2000="1" url="http://justdata.yuanta.com.tw/z/zc/zcl/zcl.djhtm?a=2383&amp;b=2" htmlTables="1"/>
  </connection>
  <connection id="118" name="連線25" type="4" refreshedVersion="3">
    <webPr sourceData="1" xl2000="1" url="http://justdata.yuanta.com.tw/z/zc/zcl/zcl.djhtm?a=4999&amp;b=2" htmlTables="1"/>
  </connection>
  <connection id="119" name="連線258" type="4" refreshedVersion="0" background="1">
    <webPr url="http://www.cnyes.com/twstock/Technical/3675.htm" htmlTables="1" htmlFormat="all"/>
  </connection>
  <connection id="120" name="連線26" type="4" refreshedVersion="3">
    <webPr sourceData="1" xl2000="1" url="http://justdata.yuanta.com.tw/z/zc/zcl/zcl.djhtm?a=5315&amp;b=2" htmlTables="1"/>
  </connection>
  <connection id="12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22" name="連線27" type="4" refreshedVersion="3">
    <webPr sourceData="1" xl2000="1" url="http://justdata.yuanta.com.tw/z/zc/zcl/zcl.djhtm?a=5289&amp;b=2" htmlTables="1"/>
  </connection>
  <connection id="123" name="連線272" type="4" refreshedVersion="0" background="1">
    <webPr url="http://www.emega.com.tw/z/zc/zch/zch_2102.djhtm" htmlTables="1" htmlFormat="all"/>
  </connection>
  <connection id="124" name="連線274" type="4" refreshedVersion="0" background="1">
    <webPr url="https://tw.stock.yahoo.com/d/s/earning_2733.html" htmlTables="1" htmlFormat="all"/>
  </connection>
  <connection id="125" name="連線2749" type="4" refreshedVersion="0" background="1">
    <webPr url="http://justdata.yuanta.com.tw/z/zc/zcp/zcpa/zcpa_8068.asp.htm" htmlTables="1" htmlFormat="all"/>
  </connection>
  <connection id="126" name="連線28" type="4" refreshedVersion="3">
    <webPr sourceData="1" xl2000="1" url="http://justdata.yuanta.com.tw/z/zc/zcl/zcl.djhtm?a=5474&amp;b=2" htmlTables="1"/>
  </connection>
  <connection id="127" name="連線285" type="4" refreshedVersion="0" background="1">
    <webPr url="http://www.emega.com.tw/z/zc/zch/zch_1220.djhtm" htmlTables="1" htmlFormat="all"/>
  </connection>
  <connection id="128" name="連線29" type="4" refreshedVersion="3">
    <webPr sourceData="1" xl2000="1" url="http://justdata.yuanta.com.tw/z/zc/zcl/zcl.djhtm?a=6422&amp;b=2" htmlTables="1"/>
  </connection>
  <connection id="129" name="連線3" type="4" refreshedVersion="0" background="1">
    <webPr url="http://justdata.yuanta.com.tw/z/zc/zcp/zcpa/zcpa_3073.asp.htm" htmlTables="1" htmlFormat="all"/>
  </connection>
  <connection id="130" name="連線30" type="4" refreshedVersion="3">
    <webPr sourceData="1" xl2000="1" url="http://justdata.yuanta.com.tw/z/zc/zcl/zcl.djhtm?a=2474&amp;b=2" htmlTables="1"/>
  </connection>
  <connection id="131" name="連線31" type="4" refreshedVersion="3">
    <webPr sourceData="1" xl2000="1" url="http://justdata.yuanta.com.tw/z/zc/zcl/zcl.djhtm?a=2929&amp;b=2" htmlTables="1"/>
  </connection>
  <connection id="132" name="連線32" type="4" refreshedVersion="3">
    <webPr sourceData="1" xl2000="1" url="http://justdata.yuanta.com.tw/z/zc/zcl/zcl.djhtm?a=1558&amp;b=2" htmlTables="1"/>
  </connection>
  <connection id="133" name="連線329" type="4" refreshedVersion="0" background="1">
    <webPr url="http://justdata.yuanta.com.tw/z/zc/zcq/zcq_1464.asp.htm" htmlTables="1" htmlFormat="all"/>
  </connection>
  <connection id="134" name="連線33" type="4" refreshedVersion="0" background="1">
    <webPr url="http://www.cnyes.com/twstock/Technical/3005.htm" htmlTables="1" htmlFormat="all"/>
  </connection>
  <connection id="135" name="連線338" type="4" refreshedVersion="0" background="1">
    <webPr url="http://www.emega.com.tw/z/zc/zch/zch_1517.djhtm" htmlTables="1" htmlFormat="all"/>
  </connection>
  <connection id="136" name="連線34" type="4" refreshedVersion="3">
    <webPr sourceData="1" xl2000="1" url="http://justdata.yuanta.com.tw/z/zc/zcl/zcl.djhtm?a=2354&amp;b=2" htmlTables="1"/>
  </connection>
  <connection id="137" name="連線35" type="4" refreshedVersion="3">
    <webPr sourceData="1" xl2000="1" url="http://justdata.yuanta.com.tw/z/zc/zcl/zcl.djhtm?a=4987&amp;b=2" htmlTables="1"/>
  </connection>
  <connection id="138" name="連線355" type="4" refreshedVersion="0" background="1">
    <webPr url="http://justdata.yuanta.com.tw/z/zc/zcq/zcq_1201.asp.htm" htmlTables="1" htmlFormat="all"/>
  </connection>
  <connection id="139" name="連線36" type="4" refreshedVersion="0" background="1">
    <webPr url="http://www.emega.com.tw/z/zc/zch/zch_1452.djhtm" htmlTables="1" htmlFormat="all"/>
  </connection>
  <connection id="140" name="連線360" type="4" refreshedVersion="0" background="1">
    <webPr url="http://www.cnyes.com/twstock/Technical/2106.htm" htmlTables="1" htmlFormat="all"/>
  </connection>
  <connection id="141" name="連線364" type="4" refreshedVersion="0" background="1">
    <webPr url="https://tw.stock.yahoo.com/d/s/earning_3627.html" htmlTables="1" htmlFormat="all"/>
  </connection>
  <connection id="142" name="連線369" type="4" refreshedVersion="0" background="1">
    <webPr url="http://www.emega.com.tw/z/zc/zch/zch_1446.djhtm" htmlTables="1" htmlFormat="all"/>
  </connection>
  <connection id="143" name="連線37" type="4" refreshedVersion="0" background="1">
    <webPr url="http://www.emega.com.tw/z/zc/zch/zch_2637.djhtm" htmlTables="1" htmlFormat="all"/>
  </connection>
  <connection id="144" name="連線371" type="4" refreshedVersion="0" background="1">
    <webPr url="http://justdata.yuanta.com.tw/z/zc/zcq/zcq_1233.asp.htm" htmlTables="1" htmlFormat="all"/>
  </connection>
  <connection id="145" name="連線376" type="4" refreshedVersion="0" background="1">
    <webPr url="http://www.emega.com.tw/z/zc/zch/zch_2424.djhtm" htmlTables="1" htmlFormat="all"/>
  </connection>
  <connection id="146" name="連線38" type="4" refreshedVersion="3">
    <webPr sourceData="1" xl2000="1" url="http://justdata.yuanta.com.tw/z/zc/zcl/zcl.djhtm?a=3559&amp;b=2" htmlTables="1"/>
  </connection>
  <connection id="147" name="連線39" type="4" refreshedVersion="3">
    <webPr sourceData="1" xl2000="1" url="http://justdata.yuanta.com.tw/z/zc/zcl/zcl.djhtm?a=6263&amp;b=2" htmlTables="1"/>
  </connection>
  <connection id="14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49" name="連線40" type="4" refreshedVersion="3">
    <webPr sourceData="1" xl2000="1" url="http://justdata.yuanta.com.tw/z/zc/zcl/zcl.djhtm?a=5349&amp;b=2" htmlTables="1"/>
  </connection>
  <connection id="150" name="連線409" type="4" refreshedVersion="0" background="1">
    <webPr url="http://tw.stock.yahoo.com/q/q?s=8421" htmlTables="1" htmlFormat="all"/>
  </connection>
  <connection id="15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52" name="連線42" type="4" refreshedVersion="3">
    <webPr sourceData="1" xl2000="1" url="http://justdata.yuanta.com.tw/z/zc/zcl/zcl.djhtm?a=8131&amp;b=2" htmlTables="1"/>
  </connection>
  <connection id="153" name="連線43" type="4" refreshedVersion="3">
    <webPr sourceData="1" xl2000="1" url="http://justdata.yuanta.com.tw/z/zc/zcl/zcl.djhtm?a=2493&amp;b=2" htmlTables="1"/>
  </connection>
  <connection id="15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155" name="連線44" type="4" refreshedVersion="3">
    <webPr sourceData="1" xl2000="1" url="http://justdata.yuanta.com.tw/z/zc/zcl/zcl.djhtm?a=4958&amp;b=2" htmlTables="1"/>
  </connection>
  <connection id="156" name="連線45" type="4" refreshedVersion="3">
    <webPr sourceData="1" xl2000="1" url="http://justdata.yuanta.com.tw/z/zc/zcl/zcl.djhtm?a=5522&amp;b=2" htmlTables="1"/>
  </connection>
  <connection id="157" name="連線456" type="4" refreshedVersion="0" background="1">
    <webPr url="http://www.cnyes.com/twstock/Technical/5388.htm" htmlTables="1" htmlFormat="all"/>
  </connection>
  <connection id="158" name="連線46" type="4" refreshedVersion="3">
    <webPr sourceData="1" xl2000="1" url="http://justdata.yuanta.com.tw/z/zc/zcl/zcl.djhtm?a=8109&amp;b=2" htmlTables="1"/>
  </connection>
  <connection id="159" name="連線47" type="4" refreshedVersion="3">
    <webPr sourceData="1" xl2000="1" url="http://justdata.yuanta.com.tw/z/zc/zcl/zcl.djhtm?a=3501&amp;b=2" htmlTables="1"/>
  </connection>
  <connection id="160" name="連線48" type="4" refreshedVersion="3">
    <webPr sourceData="1" xl2000="1" url="http://justdata.yuanta.com.tw/z/zc/zcl/zcl.djhtm?a=1808&amp;b=2" htmlTables="1"/>
  </connection>
  <connection id="16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16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16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164" name="連線50" type="4" refreshedVersion="3">
    <webPr sourceData="1" xl2000="1" url="http://justdata.yuanta.com.tw/z/zc/zcl/zcl.djhtm?a=3030&amp;b=2" htmlTables="1"/>
  </connection>
  <connection id="165" name="連線51" type="4" refreshedVersion="3">
    <webPr sourceData="1" xl2000="1" url="http://justdata.yuanta.com.tw/z/zc/zcl/zcl.djhtm?a=6292&amp;b=2" htmlTables="1"/>
  </connection>
  <connection id="166" name="連線512" type="4" refreshedVersion="0" background="1">
    <webPr url="http://www.emega.com.tw/z/zc/zch/zch_6197.djhtm" htmlTables="1" htmlFormat="all"/>
  </connection>
  <connection id="167" name="連線52" type="4" refreshedVersion="0" background="1">
    <webPr url="http://www.emega.com.tw/z/zc/zch/zch_1471.djhtm" htmlTables="1" htmlFormat="all"/>
  </connection>
  <connection id="168" name="連線53" type="4" refreshedVersion="3">
    <webPr sourceData="1" xl2000="1" url="http://justdata.yuanta.com.tw/z/zc/zcl/zcl.djhtm?a=4722&amp;b=2" htmlTables="1"/>
  </connection>
  <connection id="169" name="連線54" type="4" refreshedVersion="3">
    <webPr sourceData="1" xl2000="1" url="http://justdata.yuanta.com.tw/z/zc/zcl/zcl.djhtm?a=2428&amp;b=2" htmlTables="1"/>
  </connection>
  <connection id="170" name="連線55" type="4" refreshedVersion="3">
    <webPr sourceData="1" xl2000="1" url="http://justdata.yuanta.com.tw/z/zc/zcl/zcl.djhtm?a=3213&amp;b=2" htmlTables="1"/>
  </connection>
  <connection id="17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172" name="連線57" type="4" refreshedVersion="3">
    <webPr sourceData="1" xl2000="1" url="http://justdata.yuanta.com.tw/z/zc/zcl/zcl.djhtm?a=6205&amp;b=2" htmlTables="1"/>
  </connection>
  <connection id="173" name="連線58" type="4" refreshedVersion="3">
    <webPr sourceData="1" xl2000="1" url="http://justdata.yuanta.com.tw/z/zc/zcl/zcl.djhtm?a=8424&amp;b=2" htmlTables="1"/>
  </connection>
  <connection id="174" name="連線586" type="4" refreshedVersion="0" background="1">
    <webPr url="http://www.emega.com.tw/z/zc/zch/zch_2115.djhtm" htmlTables="1" htmlFormat="all"/>
  </connection>
  <connection id="175" name="連線59" type="4" refreshedVersion="0" background="1">
    <webPr url="http://justdata.yuanta.com.tw/z/zc/zcl/zcl.djhtm?a=2441&amp;b=2" htmlTables="1" htmlFormat="all"/>
  </connection>
  <connection id="17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177" name="連線60" type="4" refreshedVersion="3">
    <webPr sourceData="1" xl2000="1" url="http://justdata.yuanta.com.tw/z/zc/zcl/zcl.djhtm?a=2114&amp;b=2" htmlTables="1"/>
  </connection>
  <connection id="17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179" name="連線61" type="4" refreshedVersion="3">
    <webPr sourceData="1" xl2000="1" url="http://justdata.yuanta.com.tw/z/zc/zcl/zcl.djhtm?a=3299&amp;b=2" htmlTables="1"/>
  </connection>
  <connection id="18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181" name="連線63" type="4" refreshedVersion="3">
    <webPr sourceData="1" xl2000="1" url="http://justdata.yuanta.com.tw/z/zc/zcl/zcl.djhtm?a=6216&amp;b=2" htmlTables="1"/>
  </connection>
  <connection id="182" name="連線633" type="4" refreshedVersion="0" background="1">
    <webPr url="http://www.emega.com.tw/z/zc/zcn/zcn.djhtm?a=1773&amp;b=4" htmlTables="1" htmlFormat="all"/>
  </connection>
  <connection id="183" name="連線64" type="4" refreshedVersion="0" background="1">
    <webPr url="http://justdata.yuanta.com.tw/z/zc/zcq/zcq_1717.asp.htm" htmlTables="1" htmlFormat="all"/>
  </connection>
  <connection id="184" name="連線645" type="4" refreshedVersion="0" background="1">
    <webPr url="http://www.emega.com.tw/z/zc/zch/zch_2349.djhtm" htmlTables="1" htmlFormat="all"/>
  </connection>
  <connection id="185" name="連線65" type="4" refreshedVersion="3">
    <webPr sourceData="1" xl2000="1" url="http://justdata.yuanta.com.tw/z/zc/zcl/zcl.djhtm?a=2441&amp;b=2" htmlTables="1"/>
  </connection>
  <connection id="186" name="連線66" type="4" refreshedVersion="3">
    <webPr sourceData="1" xl2000="1" url="http://justdata.yuanta.com.tw/z/zc/zcl/zcl.djhtm?a=6185&amp;b=2" htmlTables="1"/>
  </connection>
  <connection id="187" name="連線661" type="4" refreshedVersion="0" background="1">
    <webPr url="http://justdata.yuanta.com.tw/z/zc/zcl/zcl.djhtm?a=1524&amp;b=2" htmlTables="1" htmlFormat="all"/>
  </connection>
  <connection id="188" name="連線67" type="4" refreshedVersion="3">
    <webPr sourceData="1" xl2000="1" url="http://justdata.yuanta.com.tw/z/zc/zcl/zcl.djhtm?a=1232&amp;b=2" htmlTables="1"/>
  </connection>
  <connection id="189" name="連線68" type="4" refreshedVersion="3">
    <webPr sourceData="1" xl2000="1" url="http://justdata.yuanta.com.tw/z/zc/zcl/zcl.djhtm?a=1258&amp;b=2" htmlTables="1"/>
  </connection>
  <connection id="19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191" name="連線69" type="4" refreshedVersion="0" background="1">
    <webPr url="http://www.cnyes.com/twstock/Technical/1537_1.65%.htm" htmlTables="1" htmlFormat="all"/>
  </connection>
  <connection id="192" name="連線7" type="4" refreshedVersion="5" background="1" saveData="1">
    <webPr sourceData="1" consecutive="1" xl2000="1" url="http://www.emega.com.tw/z/zc/zch/zch_5388.djhtm" htmlTables="1"/>
  </connection>
  <connection id="193" name="連線70" type="4" refreshedVersion="0" background="1">
    <webPr url="http://www.cnyes.com/twstock/Technical/1537_1.65%.htm" htmlTables="1" htmlFormat="all"/>
  </connection>
  <connection id="19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195" name="連線71" type="4" refreshedVersion="3">
    <webPr sourceData="1" xl2000="1" url="http://justdata.yuanta.com.tw/z/zc/zcl/zcl.djhtm?a=4417&amp;b=2" htmlTables="1"/>
  </connection>
  <connection id="196" name="連線72" type="4" refreshedVersion="3">
    <webPr sourceData="1" xl2000="1" url="http://justdata.yuanta.com.tw/z/zc/zcl/zcl.djhtm?a=2108&amp;b=2" htmlTables="1"/>
  </connection>
  <connection id="197" name="連線73" type="4" refreshedVersion="3">
    <webPr sourceData="1" xl2000="1" url="http://justdata.yuanta.com.tw/z/zc/zcl/zcl.djhtm?a=4974&amp;b=2" htmlTables="1"/>
  </connection>
  <connection id="198" name="連線730" type="4" refreshedVersion="0" background="1">
    <webPr url="http://www.cnyes.com/twstock/Technical/1219.htm" htmlTables="1" htmlFormat="all"/>
  </connection>
  <connection id="199" name="連線74" type="4" refreshedVersion="3">
    <webPr sourceData="1" xl2000="1" url="http://justdata.yuanta.com.tw/z/zc/zcl/zcl.djhtm?a=2488&amp;b=2" htmlTables="1"/>
  </connection>
  <connection id="200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01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02" name="連線75" type="4" refreshedVersion="3">
    <webPr sourceData="1" xl2000="1" url="http://justdata.yuanta.com.tw/z/zc/zcl/zcl.djhtm?a=2451&amp;b=2" htmlTables="1"/>
  </connection>
  <connection id="203" name="連線750" type="4" refreshedVersion="0" background="1">
    <webPr url="http://justdata.yuanta.com.tw/z/zc/zcq/zcq_3017.asp.htm" htmlTables="1" htmlFormat="all"/>
  </connection>
  <connection id="204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05" name="連線76" type="4" refreshedVersion="3">
    <webPr sourceData="1" xl2000="1" url="http://justdata.yuanta.com.tw/z/zc/zcl/zcl.djhtm?a=3693&amp;b=2" htmlTables="1"/>
  </connection>
  <connection id="206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07" name="連線77" type="4" refreshedVersion="0" background="1">
    <webPr url="http://www.emega.com.tw/z/zc/zch/zch_6286.djhtm" htmlTables="1" htmlFormat="all"/>
  </connection>
  <connection id="208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09" name="連線78" type="4" refreshedVersion="0" background="1">
    <webPr url="http://www.emega.com.tw/z/zc/zch/zch_1303.djhtm" htmlTables="1" htmlFormat="all"/>
  </connection>
  <connection id="210" name="連線79" type="4" refreshedVersion="3">
    <webPr sourceData="1" xl2000="1" url="http://justdata.yuanta.com.tw/z/zc/zcl/zcl.djhtm?a=2330&amp;b=2" htmlTables="1"/>
  </connection>
  <connection id="211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12" name="連線799" type="4" refreshedVersion="0" background="1">
    <webPr url="http://www.emega.com.tw/z/zc/zch/zch_6171.djhtm" htmlTables="1" htmlFormat="all"/>
  </connection>
  <connection id="213" name="連線8" type="4" refreshedVersion="0" background="1">
    <webPr url="http://justdata.yuanta.com.tw/z/zc/zcp/zcpa/zcpa_8109.asp.htm" htmlTables="1" htmlFormat="all"/>
  </connection>
  <connection id="214" name="連線80" type="4" refreshedVersion="3">
    <webPr sourceData="1" xl2000="1" url="http://justdata.yuanta.com.tw/z/zc/zcl/zcl.djhtm?a=4995&amp;b=2" htmlTables="1"/>
  </connection>
  <connection id="215" name="連線81" type="4" refreshedVersion="3">
    <webPr sourceData="1" xl2000="1" url="http://justdata.yuanta.com.tw/z/zc/zcl/zcl.djhtm?a=8942&amp;b=2" htmlTables="1"/>
  </connection>
  <connection id="216" name="連線82" type="4" refreshedVersion="3">
    <webPr sourceData="1" xl2000="1" url="http://justdata.yuanta.com.tw/z/zc/zcl/zcl.djhtm?a=1582&amp;b=2" htmlTables="1"/>
  </connection>
  <connection id="217" name="連線83" type="4" refreshedVersion="0" background="1">
    <webPr url="http://justdata.yuanta.com.tw/z/zc/zcl/zcl.djhtm?a=2455&amp;b=2" htmlTables="1" htmlFormat="all"/>
  </connection>
  <connection id="218" name="連線84" type="4" refreshedVersion="3">
    <webPr sourceData="1" xl2000="1" url="http://justdata.yuanta.com.tw/z/zc/zcl/zcl.djhtm?a=2404&amp;b=2" htmlTables="1"/>
  </connection>
  <connection id="219" name="連線85" type="4" refreshedVersion="3">
    <webPr sourceData="1" xl2000="1" url="http://justdata.yuanta.com.tw/z/zc/zcl/zcl.djhtm?a=5234&amp;b=2" htmlTables="1"/>
  </connection>
  <connection id="220" name="連線86" type="4" refreshedVersion="3">
    <webPr sourceData="1" xl2000="1" url="http://justdata.yuanta.com.tw/z/zc/zcl/zcl.djhtm?a=8420&amp;b=2" htmlTables="1"/>
  </connection>
  <connection id="221" name="連線87" type="4" refreshedVersion="3">
    <webPr sourceData="1" xl2000="1" url="http://justdata.yuanta.com.tw/z/zc/zcl/zcl.djhtm?a=4972&amp;b=2" htmlTables="1"/>
  </connection>
  <connection id="222" name="連線88" type="4" refreshedVersion="3">
    <webPr sourceData="1" xl2000="1" url="http://justdata.yuanta.com.tw/z/zc/zcl/zcl.djhtm?a=8086&amp;b=2" htmlTables="1"/>
  </connection>
  <connection id="223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24" name="連線89" type="4" refreshedVersion="3">
    <webPr sourceData="1" xl2000="1" url="http://justdata.yuanta.com.tw/z/zc/zcl/zcl.djhtm?a=6224&amp;b=2" htmlTables="1"/>
  </connection>
  <connection id="225" name="連線9" type="4" refreshedVersion="3">
    <webPr sourceData="1" xl2000="1" url="http://justdata.yuanta.com.tw/z/zc/zcl/zcl.djhtm?a=6105&amp;b=2" htmlTables="1"/>
  </connection>
  <connection id="226" name="連線90" type="4" refreshedVersion="3">
    <webPr sourceData="1" xl2000="1" url="http://justdata.yuanta.com.tw/z/zc/zcl/zcl.djhtm?a=8049&amp;b=2" htmlTables="1"/>
  </connection>
  <connection id="227" name="連線91" type="4" refreshedVersion="3">
    <webPr sourceData="1" xl2000="1" url="http://justdata.yuanta.com.tw/z/zc/zcl/zcl.djhtm?a=1537&amp;b=2" htmlTables="1"/>
  </connection>
  <connection id="228" name="連線914" type="4" refreshedVersion="0" background="1">
    <webPr url="http://www.tdcc.com.tw/smWeb/QryStock.jsp?SCA_DATE=20151225&amp;SqlMethod=StockNo&amp;StockNo=1409&amp;StockName=&amp;sub=%ACd%B8%DF" htmlTables="1" htmlFormat="all"/>
  </connection>
  <connection id="229" name="連線92" type="4" refreshedVersion="3">
    <webPr sourceData="1" xl2000="1" url="http://justdata.yuanta.com.tw/z/zc/zcl/zcl.djhtm?a=6202&amp;b=2" htmlTables="1"/>
  </connection>
  <connection id="230" name="連線93" type="4" refreshedVersion="0" background="1">
    <webPr url="http://www.emega.com.tw/z/zc/zch/zch_1232.djhtm" htmlTables="1" htmlFormat="all"/>
  </connection>
  <connection id="231" name="連線930" type="4" refreshedVersion="0" background="1">
    <webPr url="http://www.emega.com.tw/z/zc/zch/zch_3706.djhtm" htmlTables="1" htmlFormat="all"/>
  </connection>
  <connection id="232" name="連線94" type="4" refreshedVersion="3">
    <webPr sourceData="1" xl2000="1" url="http://justdata.yuanta.com.tw/z/zc/zcl/zcl.djhtm?a=2355&amp;b=2" htmlTables="1"/>
  </connection>
  <connection id="23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34" name="連線95" type="4" refreshedVersion="3">
    <webPr sourceData="1" xl2000="1" url="http://justdata.yuanta.com.tw/z/zc/zcl/zcl.djhtm?a=3105&amp;b=2" htmlTables="1"/>
  </connection>
  <connection id="235" name="連線96" type="4" refreshedVersion="3">
    <webPr sourceData="1" xl2000="1" url="http://justdata.yuanta.com.tw/z/zc/zcl/zcl.djhtm?a=3376&amp;b=2" htmlTables="1"/>
  </connection>
  <connection id="23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37" name="連線98" type="4" refreshedVersion="3">
    <webPr sourceData="1" xl2000="1" url="http://justdata.yuanta.com.tw/z/zc/zcl/zcl.djhtm?a=3479&amp;b=2" htmlTables="1"/>
  </connection>
  <connection id="23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<sst xmlns="http://schemas.openxmlformats.org/spreadsheetml/2006/main" count="5858" uniqueCount="3018">
  <si>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</si>
  <si>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</si>
  <si>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</si>
  <si>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</si>
  <si>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</si>
  <si>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</si>
  <si>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</si>
  <si>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</si>
  <si>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</si>
  <si>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</si>
  <si>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</si>
  <si>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</si>
  <si>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</si>
  <si>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</si>
  <si>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</si>
  <si>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</si>
  <si>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</si>
  <si>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</si>
  <si>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</si>
  <si>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</si>
  <si>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</si>
  <si>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</si>
  <si>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</si>
  <si>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</si>
  <si>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</si>
  <si>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</si>
  <si>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</si>
  <si>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</si>
  <si>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</si>
  <si>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</si>
  <si>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</si>
  <si>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</si>
  <si>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</si>
  <si>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</si>
  <si>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</si>
  <si>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</si>
  <si>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</si>
  <si>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</si>
  <si>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</si>
  <si>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</si>
  <si>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</si>
  <si>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</si>
  <si>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</si>
  <si>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</si>
  <si>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</si>
  <si>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</si>
  <si>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</si>
  <si>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</si>
  <si>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</si>
  <si>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</si>
  <si>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</si>
  <si>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</si>
  <si>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</si>
  <si>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</si>
  <si>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</si>
  <si>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</si>
  <si>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</si>
  <si>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</si>
  <si>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</si>
  <si>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</si>
  <si>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</si>
  <si>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</si>
  <si>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</si>
  <si>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</si>
  <si>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</si>
  <si>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</si>
  <si>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</si>
  <si>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</si>
  <si>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</si>
  <si>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</si>
  <si>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</si>
  <si>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</si>
  <si>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</si>
  <si>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</si>
  <si>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</si>
  <si>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</si>
  <si>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</si>
  <si>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</si>
  <si>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</si>
  <si>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</si>
  <si>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</si>
  <si>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</si>
  <si>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</si>
  <si>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</si>
  <si>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</si>
  <si>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</si>
  <si>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</si>
  <si>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</si>
  <si>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</si>
  <si>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</si>
  <si>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</si>
  <si>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</si>
  <si>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</si>
  <si>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</si>
  <si>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</si>
  <si>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</si>
  <si>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</si>
  <si>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</si>
  <si>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</si>
  <si>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</si>
  <si>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</si>
  <si>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</si>
  <si>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</si>
  <si>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</si>
  <si>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</si>
  <si>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</si>
  <si>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</si>
  <si>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</si>
  <si>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</si>
  <si>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</si>
  <si>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</si>
  <si>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</si>
  <si>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</si>
  <si>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</si>
  <si>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</si>
  <si>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</si>
  <si>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</si>
  <si>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</si>
  <si>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</si>
  <si>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</si>
  <si>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</si>
  <si>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</si>
  <si>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</si>
  <si>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</si>
  <si>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</si>
  <si>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</si>
  <si>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</si>
  <si>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</si>
  <si>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</si>
  <si>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</si>
  <si>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</si>
  <si>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</si>
  <si>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</si>
  <si>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</si>
  <si>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</si>
  <si>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</si>
  <si>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</si>
  <si>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</si>
  <si>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</si>
  <si>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</si>
  <si>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</si>
  <si>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</si>
  <si>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</si>
  <si>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</si>
  <si>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</si>
  <si>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</si>
  <si>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</si>
  <si>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</si>
  <si>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</si>
  <si>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</si>
  <si>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</si>
  <si>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</si>
  <si>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</si>
  <si>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</si>
  <si>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</si>
  <si>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</si>
  <si>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</si>
  <si>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</si>
  <si>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</si>
  <si>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</si>
  <si>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</si>
  <si>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</si>
  <si>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</si>
  <si>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</si>
  <si>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</si>
  <si>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</si>
  <si>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</si>
  <si>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</si>
  <si>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</si>
  <si>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</si>
  <si>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</si>
  <si>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</si>
  <si>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</si>
  <si>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</si>
  <si>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</si>
  <si>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</si>
  <si>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</si>
  <si>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</si>
  <si>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</si>
  <si>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</si>
  <si>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</si>
  <si>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</si>
  <si>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</si>
  <si>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</si>
  <si>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</si>
  <si>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</si>
  <si>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</si>
  <si>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</si>
  <si>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</si>
  <si>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</si>
  <si>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</si>
  <si>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</si>
  <si>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</si>
  <si>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</si>
  <si>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</si>
  <si>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</si>
  <si>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</si>
  <si>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</si>
  <si>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</si>
  <si>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</si>
  <si>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</si>
  <si>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</si>
  <si>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</si>
  <si>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</si>
  <si>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</si>
  <si>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</si>
  <si>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</si>
  <si>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</si>
  <si>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</si>
  <si>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</si>
  <si>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</si>
  <si>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</si>
  <si>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</si>
  <si>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</si>
  <si>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</si>
  <si>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</si>
  <si>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</si>
  <si>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</si>
  <si>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</si>
  <si>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</si>
  <si>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</si>
  <si>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</si>
  <si>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</si>
  <si>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</si>
  <si>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</si>
  <si>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</si>
  <si>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</si>
  <si>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</si>
  <si>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</si>
  <si>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</si>
  <si>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</si>
  <si>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</si>
  <si>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</si>
  <si>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</si>
  <si>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</si>
  <si>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</si>
  <si>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</si>
  <si>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</si>
  <si>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</si>
  <si>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</si>
  <si>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</si>
  <si>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</si>
  <si>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</si>
  <si>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</si>
  <si>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</si>
  <si>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</si>
  <si>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</si>
  <si>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</si>
  <si>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</si>
  <si>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</si>
  <si>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</si>
  <si>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</si>
  <si>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</si>
  <si>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</si>
  <si>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</si>
  <si>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</si>
  <si>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</si>
  <si>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</si>
  <si>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</si>
  <si>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</si>
  <si>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</si>
  <si>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</si>
  <si>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</si>
  <si>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</si>
  <si>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</si>
  <si>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</si>
  <si>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</si>
  <si>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</si>
  <si>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</si>
  <si>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</si>
  <si>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</si>
  <si>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</si>
  <si>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</si>
  <si>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</si>
  <si>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</si>
  <si>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</si>
  <si>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</si>
  <si>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</si>
  <si>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</si>
  <si>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</si>
  <si>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</si>
  <si>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</si>
  <si>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</si>
  <si>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</si>
  <si>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</si>
  <si>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</si>
  <si>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</si>
  <si>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</si>
  <si>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</si>
  <si>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</si>
  <si>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</si>
  <si>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</si>
  <si>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</si>
  <si>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</si>
  <si>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</si>
  <si>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</si>
  <si>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</si>
  <si>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</si>
  <si>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</si>
  <si>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</si>
  <si>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</si>
  <si>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</si>
  <si>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</si>
  <si>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</si>
  <si>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</si>
  <si>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</si>
  <si>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</si>
  <si>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</si>
  <si>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</si>
  <si>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</si>
  <si>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</si>
  <si>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</si>
  <si>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</si>
  <si>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</si>
  <si>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</si>
  <si>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</si>
  <si>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</si>
  <si>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</si>
  <si>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</si>
  <si>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</si>
  <si>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</si>
  <si>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</si>
  <si>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</si>
  <si>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</si>
  <si>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</si>
  <si>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</si>
  <si>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</si>
  <si>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</si>
  <si>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</si>
  <si>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</si>
  <si>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</si>
  <si>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</si>
  <si>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</si>
  <si>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</si>
  <si>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</si>
  <si>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</si>
  <si>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</si>
  <si>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</si>
  <si>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</si>
  <si>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</si>
  <si>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</si>
  <si>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</si>
  <si>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</si>
  <si>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</si>
  <si>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</si>
  <si>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</si>
  <si>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</si>
  <si>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</si>
  <si>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</si>
  <si>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</si>
  <si>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</si>
  <si>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</si>
  <si>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</si>
  <si>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</si>
  <si>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</si>
  <si>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</si>
  <si>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</si>
  <si>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</si>
  <si>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</si>
  <si>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</si>
  <si>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</si>
  <si>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</si>
  <si>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</si>
  <si>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</si>
  <si>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</si>
  <si>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</si>
  <si>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</si>
  <si>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</si>
  <si>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</si>
  <si>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</si>
  <si>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</si>
  <si>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</si>
  <si>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</si>
  <si>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</si>
  <si>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</si>
  <si>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</si>
  <si>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</si>
  <si>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</si>
  <si>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</si>
  <si>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</si>
  <si>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</si>
  <si>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</si>
  <si>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</si>
  <si>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</si>
  <si>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</si>
  <si>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</si>
  <si>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</si>
  <si>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</si>
  <si>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</si>
  <si>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</si>
  <si>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</si>
  <si>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</si>
  <si>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</si>
  <si>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</si>
  <si>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</si>
  <si>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</si>
  <si>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</si>
  <si>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</si>
  <si>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</si>
  <si>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</si>
  <si>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</si>
  <si>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</si>
  <si>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</si>
  <si>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</si>
  <si>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</si>
  <si>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</si>
  <si>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</si>
  <si>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</si>
  <si>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</si>
  <si>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</si>
  <si>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</si>
  <si>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</si>
  <si>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</si>
  <si>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</si>
  <si>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</si>
  <si>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</si>
  <si>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</si>
  <si>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</si>
  <si>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</si>
  <si>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</si>
  <si>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</si>
  <si>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</si>
  <si>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</si>
  <si>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</si>
  <si>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</si>
  <si>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</si>
  <si>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</si>
  <si>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</si>
  <si>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</si>
  <si>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</si>
  <si>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</si>
  <si>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</si>
  <si>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</si>
  <si>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</si>
  <si>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</si>
  <si>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</si>
  <si>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</si>
  <si>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</si>
  <si>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</si>
  <si>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</si>
  <si>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</si>
  <si>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</si>
  <si>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</si>
  <si>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</si>
  <si>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</si>
  <si>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</si>
  <si>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</si>
  <si>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</si>
  <si>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</si>
  <si>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</si>
  <si>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</si>
  <si>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</si>
  <si>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</si>
  <si>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</si>
  <si>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</si>
  <si>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</si>
  <si>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</si>
  <si>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</si>
  <si>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</si>
  <si>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</si>
  <si>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</si>
  <si>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</si>
  <si>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</si>
  <si>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</si>
  <si>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</si>
  <si>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</si>
  <si>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</si>
  <si>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</si>
  <si>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</si>
  <si>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</si>
  <si>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</si>
  <si>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</si>
  <si>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</si>
  <si>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</si>
  <si>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</si>
  <si>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</si>
  <si>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</si>
  <si>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</si>
  <si>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</si>
  <si>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</si>
  <si>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</si>
  <si>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</si>
  <si>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</si>
  <si>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</si>
  <si>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</si>
  <si>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</si>
  <si>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</si>
  <si>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</si>
  <si>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</si>
  <si>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</si>
  <si>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</si>
  <si>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</si>
  <si>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</si>
  <si>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</si>
  <si>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</si>
  <si>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</si>
  <si>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</si>
  <si>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</si>
  <si>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</si>
  <si>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</si>
  <si>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</si>
  <si>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</si>
  <si>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</si>
  <si>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</si>
  <si>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</si>
  <si>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</si>
  <si>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</si>
  <si>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</si>
  <si>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</si>
  <si>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</si>
  <si>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</si>
  <si>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</si>
  <si>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</si>
  <si>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</si>
  <si>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</si>
  <si>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</si>
  <si>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</si>
  <si>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</si>
  <si>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</si>
  <si>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</si>
  <si>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</si>
  <si>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</si>
  <si>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</si>
  <si>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</si>
  <si>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</si>
  <si>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</si>
  <si>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</si>
  <si>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</si>
  <si>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</si>
  <si>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</si>
  <si>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</si>
  <si>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</si>
  <si>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</si>
  <si>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</si>
  <si>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</si>
  <si>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</si>
  <si>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</si>
  <si>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</si>
  <si>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</si>
  <si>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</si>
  <si>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</si>
  <si>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</si>
  <si>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</si>
  <si>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</si>
  <si>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</si>
  <si>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</si>
  <si>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</si>
  <si>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</si>
  <si>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</si>
  <si>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</si>
  <si>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</si>
  <si>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</si>
  <si>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</si>
  <si>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</si>
  <si>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</si>
  <si>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</si>
  <si>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</si>
  <si>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</si>
  <si>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</si>
  <si>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</si>
  <si>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</si>
  <si>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</si>
  <si>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</si>
  <si>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</si>
  <si>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</si>
  <si>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</si>
  <si>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</si>
  <si>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</si>
  <si>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</si>
  <si>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</si>
  <si>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</si>
  <si>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</si>
  <si>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</si>
  <si>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</si>
  <si>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</si>
  <si>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</si>
  <si>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</si>
  <si>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</si>
  <si>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</si>
  <si>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</si>
  <si>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</si>
  <si>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</si>
  <si>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</si>
  <si>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</si>
  <si>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</si>
  <si>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</si>
  <si>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</si>
  <si>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</si>
  <si>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</si>
  <si>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</si>
  <si>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</si>
  <si>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</si>
  <si>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</si>
  <si>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</si>
  <si>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</si>
  <si>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</si>
  <si>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</si>
  <si>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</si>
  <si>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</si>
  <si>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</si>
  <si>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</si>
  <si>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</si>
  <si>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</si>
  <si>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</si>
  <si>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</si>
  <si>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</si>
  <si>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</si>
  <si>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</si>
  <si>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</si>
  <si>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</si>
  <si>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</si>
  <si>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</si>
  <si>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</si>
  <si>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</si>
  <si>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</si>
  <si>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</si>
  <si>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</si>
  <si>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</si>
  <si>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</si>
  <si>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</si>
  <si>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</si>
  <si>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</si>
  <si>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</si>
  <si>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</si>
  <si>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</si>
  <si>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</si>
  <si>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</si>
  <si>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</si>
  <si>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</si>
  <si>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</si>
  <si>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</si>
  <si>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</si>
  <si>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</si>
  <si>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</si>
  <si>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</si>
  <si>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</si>
  <si>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</si>
  <si>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</si>
  <si>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</si>
  <si>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</si>
  <si>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</si>
  <si>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</si>
  <si>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</si>
  <si>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</si>
  <si>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</si>
  <si>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</si>
  <si>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</si>
  <si>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</si>
  <si>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</si>
  <si>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</si>
  <si>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</si>
  <si>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</si>
  <si>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</si>
  <si>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</si>
  <si>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</si>
  <si>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</si>
  <si>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</si>
  <si>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</si>
  <si>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</si>
  <si>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</si>
  <si>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</si>
  <si>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</si>
  <si>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</si>
  <si>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</si>
  <si>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</si>
  <si>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</si>
  <si>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</si>
  <si>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</si>
  <si>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</si>
  <si>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</si>
  <si>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</si>
  <si>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</si>
  <si>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</si>
  <si>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</si>
  <si>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</si>
  <si>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</si>
  <si>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</si>
  <si>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</si>
  <si>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</si>
  <si>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</si>
  <si>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</si>
  <si>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</si>
  <si>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</si>
  <si>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</si>
  <si>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</si>
  <si>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</si>
  <si>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</si>
  <si>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</si>
  <si>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</si>
  <si>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</si>
  <si>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</si>
  <si>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</si>
  <si>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</si>
  <si>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</si>
  <si>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</si>
  <si>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</si>
  <si>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</si>
  <si>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</si>
  <si>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</si>
  <si>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</si>
  <si>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</si>
  <si>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</si>
  <si>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</si>
  <si>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</si>
  <si>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</si>
  <si>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</si>
  <si>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</si>
  <si>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</si>
  <si>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</si>
  <si>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</si>
  <si>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</si>
  <si>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</si>
  <si>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</si>
  <si>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</si>
  <si>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</si>
  <si>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</si>
  <si>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</si>
  <si>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</si>
  <si>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</si>
  <si>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</si>
  <si>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</si>
  <si>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</si>
  <si>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</si>
  <si>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</si>
  <si>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</si>
  <si>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</si>
  <si>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</si>
  <si>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</si>
  <si>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</si>
  <si>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</si>
  <si>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</si>
  <si>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</si>
  <si>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</si>
  <si>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</si>
  <si>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</si>
  <si>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</si>
  <si>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</si>
  <si>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</si>
  <si>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</si>
  <si>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</si>
  <si>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</si>
  <si>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</si>
  <si>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</si>
  <si>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</si>
  <si>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</si>
  <si>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</si>
  <si>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</si>
  <si>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</si>
  <si>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</si>
  <si>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</si>
  <si>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</si>
  <si>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</si>
  <si>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</si>
  <si>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</si>
  <si>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</si>
  <si>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</si>
  <si>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</si>
  <si>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</si>
  <si>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</si>
  <si>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</si>
  <si>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</si>
  <si>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</si>
  <si>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</si>
  <si>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</si>
  <si>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</si>
  <si>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</si>
  <si>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</si>
  <si>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</si>
  <si>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</si>
  <si>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</si>
  <si>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</si>
  <si>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</si>
  <si>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</si>
  <si>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</si>
  <si>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</si>
  <si>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</si>
  <si>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</si>
  <si>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</si>
  <si>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</si>
  <si>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</si>
  <si>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</si>
  <si>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</si>
  <si>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</si>
  <si>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</si>
  <si>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</si>
  <si>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</si>
  <si>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</si>
  <si>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</si>
  <si>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</si>
  <si>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</si>
  <si>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</si>
  <si>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</si>
  <si>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</si>
  <si>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</si>
  <si>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</si>
  <si>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</si>
  <si>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</si>
  <si>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</si>
  <si>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</si>
  <si>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</si>
  <si>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</si>
  <si>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</si>
  <si>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</si>
  <si>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</si>
  <si>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</si>
  <si>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</si>
  <si>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</si>
  <si>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</si>
  <si>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</si>
  <si>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</si>
  <si>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</si>
  <si>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</si>
  <si>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</si>
  <si>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</si>
  <si>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</si>
  <si>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</si>
  <si>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</si>
  <si>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</si>
  <si>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</si>
  <si>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</si>
  <si>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</si>
  <si>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</si>
  <si>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</si>
  <si>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</si>
  <si>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</si>
  <si>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</si>
  <si>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</si>
  <si>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</si>
  <si>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</si>
  <si>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</si>
  <si>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</si>
  <si>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</si>
  <si>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</si>
  <si>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</si>
  <si>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</si>
  <si>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</si>
  <si>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</si>
  <si>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</si>
  <si>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</si>
  <si>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</si>
  <si>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</si>
  <si>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</si>
  <si>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</si>
  <si>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</si>
  <si>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</si>
  <si>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</si>
  <si>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</si>
  <si>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</si>
  <si>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</si>
  <si>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</si>
  <si>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</si>
  <si>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</si>
  <si>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</si>
  <si>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</si>
  <si>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</si>
  <si>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</si>
  <si>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</si>
  <si>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</si>
  <si>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</si>
  <si>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</si>
  <si>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</si>
  <si>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</si>
  <si>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</si>
  <si>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</si>
  <si>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</si>
  <si>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</si>
  <si>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</si>
  <si>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</si>
  <si>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</si>
  <si>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</si>
  <si>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</si>
  <si>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</si>
  <si>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</si>
  <si>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</si>
  <si>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</si>
  <si>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</si>
  <si>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</si>
  <si>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</si>
  <si>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</si>
  <si>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</si>
  <si>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</si>
  <si>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</si>
  <si>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</si>
  <si>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</si>
  <si>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</si>
  <si>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</si>
  <si>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</si>
  <si>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</si>
  <si>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</si>
  <si>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</si>
  <si>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</si>
  <si>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</si>
  <si>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</si>
  <si>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</si>
  <si>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</si>
  <si>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</si>
  <si>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</si>
  <si>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</si>
  <si>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</si>
  <si>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</si>
  <si>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</si>
  <si>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</si>
  <si>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</si>
  <si>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</si>
  <si>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</si>
  <si>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</si>
  <si>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</si>
  <si>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</si>
  <si>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</si>
  <si>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</si>
  <si>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</si>
  <si>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</si>
  <si>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</si>
  <si>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</si>
  <si>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</si>
  <si>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</si>
  <si>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</si>
  <si>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</si>
  <si>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</si>
  <si>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</si>
  <si>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</si>
  <si>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</si>
  <si>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</si>
  <si>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</si>
  <si>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</si>
  <si>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</si>
  <si>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</si>
  <si>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</si>
  <si>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</si>
  <si>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</si>
  <si>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</si>
  <si>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</si>
  <si>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</si>
  <si>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</si>
  <si>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</si>
  <si>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</si>
  <si>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</si>
  <si>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</si>
  <si>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</si>
  <si>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</si>
  <si>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</si>
  <si>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</si>
  <si>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</si>
  <si>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</si>
  <si>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</si>
  <si>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</si>
  <si>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</si>
  <si>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</si>
  <si>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</si>
  <si>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</si>
  <si>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</si>
  <si>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</si>
  <si>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</si>
  <si>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</si>
  <si>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</si>
  <si>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</si>
  <si>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</si>
  <si>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</si>
  <si>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</si>
  <si>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</si>
  <si>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</si>
  <si>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</si>
  <si>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</si>
  <si>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</si>
  <si>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</si>
  <si>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</si>
  <si>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</si>
  <si>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</si>
  <si>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</si>
  <si>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</si>
  <si>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</si>
  <si>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</si>
  <si>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</si>
  <si>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</si>
  <si>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</si>
  <si>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</si>
  <si>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</si>
  <si>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</si>
  <si>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</si>
  <si>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</si>
  <si>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</si>
  <si>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</si>
  <si>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</si>
  <si>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</si>
  <si>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</si>
  <si>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</si>
  <si>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</si>
  <si>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</si>
  <si>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</si>
  <si>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</si>
  <si>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</si>
  <si>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</si>
  <si>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</si>
  <si>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</si>
  <si>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</si>
  <si>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</si>
  <si>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</si>
  <si>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</si>
  <si>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</si>
  <si>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</si>
  <si>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</si>
  <si>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</si>
  <si>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</si>
  <si>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</si>
  <si>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</si>
  <si>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</si>
  <si>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</si>
  <si>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</si>
  <si>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</si>
  <si>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</si>
  <si>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</si>
  <si>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</si>
  <si>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</si>
  <si>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</si>
  <si>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</si>
  <si>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</si>
  <si>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</si>
  <si>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</si>
  <si>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</si>
  <si>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</si>
  <si>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</si>
  <si>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</si>
  <si>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</si>
  <si>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</si>
  <si>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</si>
  <si>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</si>
  <si>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</si>
  <si>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</si>
  <si>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</si>
  <si>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</si>
  <si>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</si>
  <si>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</si>
  <si>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</si>
  <si>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</si>
  <si>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</si>
  <si>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</si>
  <si>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</si>
  <si>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</si>
  <si>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</si>
  <si>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</si>
  <si>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</si>
  <si>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</si>
  <si>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</si>
  <si>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</si>
  <si>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</si>
  <si>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</si>
  <si>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</si>
  <si>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</si>
  <si>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</si>
  <si>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</si>
  <si>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</si>
  <si>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</si>
  <si>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</si>
  <si>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</si>
  <si>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</si>
  <si>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</si>
  <si>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</si>
  <si>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</si>
  <si>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</si>
  <si>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</si>
  <si>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</si>
  <si>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</si>
  <si>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</si>
  <si>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</si>
  <si>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</si>
  <si>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</si>
  <si>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</si>
  <si>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</si>
  <si>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</si>
  <si>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</si>
  <si>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</si>
  <si>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</si>
  <si>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</si>
  <si>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</si>
  <si>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</si>
  <si>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</si>
  <si>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</si>
  <si>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</si>
  <si>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</si>
  <si>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</si>
  <si>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</si>
  <si>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</si>
  <si>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</si>
  <si>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</si>
  <si>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</si>
  <si>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</si>
  <si>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</si>
  <si>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</si>
  <si>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</si>
  <si>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</si>
  <si>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</si>
  <si>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</si>
  <si>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</si>
  <si>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</si>
  <si>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</si>
  <si>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</si>
  <si>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</si>
  <si>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</si>
  <si>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</si>
  <si>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</si>
  <si>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</si>
  <si>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</si>
  <si>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</si>
  <si>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</si>
  <si>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</si>
  <si>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</si>
  <si>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</si>
  <si>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</si>
  <si>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</si>
  <si>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</si>
  <si>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</si>
  <si>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</si>
  <si>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</si>
  <si>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</si>
  <si>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</si>
  <si>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</si>
  <si>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</si>
  <si>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</si>
  <si>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</si>
  <si>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</si>
  <si>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</si>
  <si>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</si>
  <si>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</si>
  <si>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</si>
  <si>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</si>
  <si>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</si>
  <si>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</si>
  <si>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</si>
  <si>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</si>
  <si>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</si>
  <si>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</si>
  <si>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</si>
  <si>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</si>
  <si>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</si>
  <si>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</si>
  <si>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</si>
  <si>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</si>
  <si>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</si>
  <si>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</si>
  <si>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</si>
  <si>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</si>
  <si>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</si>
  <si>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</si>
  <si>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</si>
  <si>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</si>
  <si>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</si>
  <si>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</si>
  <si>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</si>
  <si>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</si>
  <si>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</si>
  <si>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</si>
  <si>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</si>
  <si>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</si>
  <si>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</si>
  <si>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</si>
  <si>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</si>
  <si>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</si>
  <si>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</si>
  <si>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</si>
  <si>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</si>
  <si>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</si>
  <si>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</si>
  <si>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</si>
  <si>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</si>
  <si>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</si>
  <si>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</si>
  <si>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</si>
  <si>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</si>
  <si>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</si>
  <si>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</si>
  <si>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</si>
  <si>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</si>
  <si>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</si>
  <si>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</si>
  <si>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</si>
  <si>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</si>
  <si>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</si>
  <si>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</si>
  <si>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</si>
  <si>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</si>
  <si>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</si>
  <si>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</si>
  <si>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</si>
  <si>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</si>
  <si>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</si>
  <si>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</si>
  <si>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</si>
  <si>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</si>
  <si>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</si>
  <si>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</si>
  <si>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</si>
  <si>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</si>
  <si>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</si>
  <si>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</si>
  <si>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</si>
  <si>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</si>
  <si>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</si>
  <si>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</si>
  <si>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</si>
  <si>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</si>
  <si>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</si>
  <si>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</si>
  <si>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</si>
  <si>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</si>
  <si>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</si>
  <si>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</si>
  <si>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</si>
  <si>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</si>
  <si>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</si>
  <si>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</si>
  <si>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</si>
  <si>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</si>
  <si>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</si>
  <si>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</si>
  <si>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</si>
  <si>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</si>
  <si>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</si>
  <si>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</si>
  <si>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</si>
  <si>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</si>
  <si>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</si>
  <si>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</si>
  <si>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</si>
  <si>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</si>
  <si>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</si>
  <si>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</si>
  <si>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</si>
  <si>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</si>
  <si>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</si>
  <si>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</si>
  <si>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</si>
  <si>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</si>
  <si>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</si>
  <si>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</si>
  <si>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</si>
  <si>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</si>
  <si>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</si>
  <si>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</si>
  <si>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</si>
  <si>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</si>
  <si>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</si>
  <si>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</si>
  <si>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</si>
  <si>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</si>
  <si>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</si>
  <si>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</si>
  <si>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</si>
  <si>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</si>
  <si>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</si>
  <si>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</si>
  <si>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</si>
  <si>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</si>
  <si>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</si>
  <si>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</si>
  <si>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</si>
  <si>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</si>
  <si>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</si>
  <si>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</si>
  <si>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</si>
  <si>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</si>
  <si>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</si>
  <si>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</si>
  <si>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</si>
  <si>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</si>
  <si>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</si>
  <si>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</si>
  <si>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</si>
  <si>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</si>
  <si>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</si>
  <si>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</si>
  <si>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</si>
  <si>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</si>
  <si>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</si>
  <si>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</si>
  <si>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</si>
  <si>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</si>
  <si>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</si>
  <si>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</si>
  <si>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</si>
  <si>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</si>
  <si>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</si>
  <si>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</si>
  <si>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</si>
  <si>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</si>
  <si>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</si>
  <si>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</si>
  <si>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</si>
  <si>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</si>
  <si>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</si>
  <si>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</si>
  <si>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</si>
  <si>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</si>
  <si>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</si>
  <si>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</si>
  <si>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</si>
  <si>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</si>
  <si>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</si>
  <si>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</si>
  <si>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</si>
  <si>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</si>
  <si>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</si>
  <si>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</si>
  <si>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</si>
  <si>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</si>
  <si>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</si>
  <si>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</si>
  <si>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</si>
  <si>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</si>
  <si>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</si>
  <si>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</si>
  <si>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</si>
  <si>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</si>
  <si>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</si>
  <si>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</si>
  <si>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</si>
  <si>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</si>
  <si>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</si>
  <si>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</si>
  <si>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</si>
  <si>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</si>
  <si>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</si>
  <si>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</si>
  <si>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</si>
  <si>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</si>
  <si>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</si>
  <si>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</si>
  <si>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</si>
  <si>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</si>
  <si>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</si>
  <si>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</si>
  <si>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</si>
  <si>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</si>
  <si>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</si>
  <si>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</si>
  <si>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</si>
  <si>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</si>
  <si>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</si>
  <si>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</si>
  <si>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</si>
  <si>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</si>
  <si>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</si>
  <si>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</si>
  <si>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</si>
  <si>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</si>
  <si>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</si>
  <si>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</si>
  <si>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</si>
  <si>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</si>
  <si>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</si>
  <si>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</si>
  <si>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</si>
  <si>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</si>
  <si>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</si>
  <si>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</si>
  <si>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</si>
  <si>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</si>
  <si>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</si>
  <si>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</si>
  <si>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</si>
  <si>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</si>
  <si>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</si>
  <si>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</si>
  <si>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</si>
  <si>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</si>
  <si>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</si>
  <si>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</si>
  <si>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</si>
  <si>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</si>
  <si>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</si>
  <si>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</si>
  <si>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</si>
  <si>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</si>
  <si>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</si>
  <si>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</si>
  <si>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</si>
  <si>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</si>
  <si>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</si>
  <si>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</si>
  <si>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</si>
  <si>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</si>
  <si>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</si>
  <si>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</si>
  <si>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</si>
  <si>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</si>
  <si>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</si>
  <si>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</si>
  <si>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</si>
  <si>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</si>
  <si>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</si>
  <si>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</si>
  <si>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</si>
  <si>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</si>
  <si>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</si>
  <si>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</si>
  <si>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</si>
  <si>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</si>
  <si>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</si>
  <si>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</si>
  <si>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</si>
  <si>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</si>
  <si>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</si>
  <si>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</si>
  <si>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</si>
  <si>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</si>
  <si>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</si>
  <si>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</si>
  <si>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</si>
  <si>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</si>
  <si>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</si>
  <si>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</si>
  <si>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</si>
  <si>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</si>
  <si>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</si>
  <si>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</si>
  <si>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</si>
  <si>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</si>
  <si>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</si>
  <si>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</si>
  <si>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</si>
  <si>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</si>
  <si>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</si>
  <si>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</si>
  <si>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</si>
  <si>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</si>
  <si>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</si>
  <si>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</si>
  <si>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</si>
  <si>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</si>
  <si>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</si>
  <si>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</si>
  <si>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</si>
  <si>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</si>
  <si>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</si>
  <si>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</si>
  <si>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</si>
  <si>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</si>
  <si>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</si>
  <si>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</si>
  <si>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</si>
  <si>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</si>
  <si>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</si>
  <si>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</si>
  <si>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</si>
  <si>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</si>
  <si>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</si>
  <si>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</si>
  <si>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</si>
  <si>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</si>
  <si>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</si>
  <si>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</si>
  <si>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</si>
  <si>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</si>
  <si>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</si>
  <si>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</si>
  <si>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</si>
  <si>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</si>
  <si>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</si>
  <si>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</si>
  <si>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</si>
  <si>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</si>
  <si>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</si>
  <si>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</si>
  <si>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</si>
  <si>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</si>
  <si>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</si>
  <si>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</si>
  <si>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</si>
  <si>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</si>
  <si>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</si>
  <si>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</si>
  <si>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</si>
  <si>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</si>
  <si>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</si>
  <si>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</si>
  <si>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</si>
  <si>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</si>
  <si>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</si>
  <si>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</si>
  <si>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</si>
  <si>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</si>
  <si>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</si>
  <si>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</si>
  <si>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</si>
  <si>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</si>
  <si>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</si>
  <si>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</si>
  <si>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</si>
  <si>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</si>
  <si>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</si>
  <si>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</si>
  <si>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</si>
  <si>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</si>
  <si>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</si>
  <si>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</si>
  <si>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</si>
  <si>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</si>
  <si>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</si>
  <si>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</si>
  <si>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</si>
  <si>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</si>
  <si>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</si>
  <si>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</si>
  <si>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</si>
  <si>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</si>
  <si>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</si>
  <si>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</si>
  <si>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</si>
  <si>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</si>
  <si>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</si>
  <si>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</si>
  <si>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</si>
  <si>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</si>
  <si>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</si>
  <si>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</si>
  <si>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</si>
  <si>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</si>
  <si>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</si>
  <si>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</si>
  <si>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</si>
  <si>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</si>
  <si>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</si>
  <si>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</si>
  <si>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</si>
  <si>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</si>
  <si>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</si>
  <si>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</si>
  <si>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</si>
  <si>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</si>
  <si>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</si>
  <si>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</si>
  <si>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</si>
  <si>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</si>
  <si>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</si>
  <si>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</si>
  <si>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</si>
  <si>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</si>
  <si>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</si>
  <si>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</si>
  <si>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</si>
  <si>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</si>
  <si>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</si>
  <si>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</si>
  <si>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</si>
  <si>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</si>
  <si>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</si>
  <si>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</si>
  <si>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</si>
  <si>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</si>
  <si>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</si>
  <si>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</si>
  <si>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</si>
  <si>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</si>
  <si>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</si>
  <si>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</si>
  <si>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</si>
  <si>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</si>
  <si>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</si>
  <si>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</si>
  <si>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</si>
  <si>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</si>
  <si>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</si>
  <si>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</si>
  <si>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</si>
  <si>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</si>
  <si>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</si>
  <si>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</si>
  <si>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</si>
  <si>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</si>
  <si>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</si>
  <si>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</si>
  <si>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</si>
  <si>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</si>
  <si>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</si>
  <si>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</si>
  <si>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</si>
  <si>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</si>
  <si>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</si>
  <si>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</si>
  <si>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</si>
  <si>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</si>
  <si>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</si>
  <si>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</si>
  <si>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</si>
  <si>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</si>
  <si>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</si>
  <si>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</si>
  <si>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</si>
  <si>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</si>
  <si>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</si>
  <si>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</si>
  <si>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</si>
  <si>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</si>
  <si>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</si>
  <si>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</si>
  <si>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</si>
  <si>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</si>
  <si>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</si>
  <si>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</si>
  <si>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</si>
  <si>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</si>
  <si>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</si>
  <si>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</si>
  <si>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</si>
  <si>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</si>
  <si>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</si>
  <si>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</si>
  <si>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</si>
  <si>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</si>
  <si>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</si>
  <si>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</si>
  <si>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</si>
  <si>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</si>
  <si>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</si>
  <si>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</si>
  <si>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</si>
  <si>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</si>
  <si>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</si>
  <si>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</si>
  <si>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</si>
  <si>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</si>
  <si>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</si>
  <si>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</si>
  <si>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</si>
  <si>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</si>
  <si>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</si>
  <si>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</si>
  <si>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</si>
  <si>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</si>
  <si>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</si>
  <si>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</si>
  <si>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</si>
  <si>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</si>
  <si>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</si>
  <si>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</si>
  <si>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</si>
  <si>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</si>
  <si>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</si>
  <si>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</si>
  <si>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</si>
  <si>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</si>
  <si>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</si>
  <si>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</si>
  <si>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</si>
  <si>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</si>
  <si>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</si>
  <si>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</si>
  <si>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</si>
  <si>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</si>
  <si>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</si>
  <si>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</si>
  <si>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</si>
  <si>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</si>
  <si>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</si>
  <si>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</si>
  <si>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</si>
  <si>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</si>
  <si>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</si>
  <si>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</si>
  <si>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</si>
  <si>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</si>
  <si>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</si>
  <si>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</si>
  <si>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</si>
  <si>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</si>
  <si>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</si>
  <si>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</si>
  <si>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</si>
  <si>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</si>
  <si>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</si>
  <si>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</si>
  <si>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</si>
  <si>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</si>
  <si>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</si>
  <si>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</si>
  <si>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</si>
  <si>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</si>
  <si>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</si>
  <si>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</si>
  <si>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</si>
  <si>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</si>
  <si>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</si>
  <si>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</si>
  <si>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</si>
  <si>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</si>
  <si>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</si>
  <si>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</si>
  <si>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</si>
  <si>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</si>
  <si>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</si>
  <si>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</si>
  <si>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</si>
  <si>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</si>
  <si>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</si>
  <si>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</si>
  <si>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</si>
  <si>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</si>
  <si>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</si>
  <si>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</si>
  <si>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</si>
  <si>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</si>
  <si>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</si>
  <si>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</si>
  <si>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</si>
  <si>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</si>
  <si>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</si>
  <si>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</si>
  <si>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</si>
  <si>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</si>
  <si>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</si>
  <si>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</si>
  <si>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</si>
  <si>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</si>
  <si>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</si>
  <si>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</si>
  <si>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</si>
  <si>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</si>
  <si>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</si>
  <si>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</si>
  <si>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</si>
  <si>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</si>
  <si>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</si>
  <si>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</si>
  <si>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</si>
  <si>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</si>
  <si>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</si>
  <si>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</si>
  <si>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</si>
  <si>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</si>
  <si>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</si>
  <si>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</si>
  <si>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</si>
  <si>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</si>
  <si>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</si>
  <si>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</si>
  <si>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</si>
  <si>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</si>
  <si>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</si>
  <si>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</si>
  <si>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</si>
  <si>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</si>
  <si>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</si>
  <si>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</si>
  <si>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</si>
  <si>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</si>
  <si>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</si>
  <si>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</si>
  <si>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</si>
  <si>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</si>
  <si>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</si>
  <si>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</si>
  <si>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</si>
  <si>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</si>
  <si>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</si>
  <si>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</si>
  <si>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</si>
  <si>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</si>
  <si>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</si>
  <si>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</si>
  <si>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</si>
  <si>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</si>
  <si>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</si>
  <si>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</si>
  <si>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</si>
  <si>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</si>
  <si>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</si>
  <si>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</si>
  <si>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</si>
  <si>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</si>
  <si>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</si>
  <si>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</si>
  <si>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</si>
  <si>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</si>
  <si>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</si>
  <si>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</si>
  <si>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</si>
  <si>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</si>
  <si>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</si>
  <si>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</si>
  <si>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</si>
  <si>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</si>
  <si>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</si>
  <si>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</si>
  <si>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</si>
  <si>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</si>
  <si>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</si>
  <si>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</si>
  <si>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</si>
  <si>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</si>
  <si>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</si>
  <si>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</si>
  <si>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</si>
  <si>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</si>
  <si>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</si>
  <si>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</si>
  <si>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</si>
  <si>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</si>
  <si>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</si>
  <si>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</si>
  <si>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</si>
  <si>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</si>
  <si>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</si>
  <si>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</si>
  <si>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</si>
  <si>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</si>
  <si>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</si>
  <si>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</si>
  <si>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</si>
  <si>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</si>
  <si>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</si>
  <si>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</si>
  <si>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</si>
  <si>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</si>
  <si>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</si>
  <si>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</si>
  <si>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</si>
  <si>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</si>
  <si>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</si>
  <si>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</si>
  <si>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</si>
  <si>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</si>
  <si>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</si>
  <si>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</si>
  <si>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</si>
  <si>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</si>
  <si>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</si>
  <si>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</si>
  <si>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</si>
  <si>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</si>
  <si>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</si>
  <si>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</si>
  <si>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</si>
  <si>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</si>
  <si>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</si>
  <si>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</si>
  <si>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</si>
  <si>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</si>
  <si>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</si>
  <si>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</si>
  <si>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</si>
  <si>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</si>
  <si>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</si>
  <si>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</si>
  <si>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</si>
  <si>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</si>
  <si>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</si>
  <si>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</si>
  <si>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</si>
  <si>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</si>
  <si>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</si>
  <si>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</si>
  <si>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</si>
  <si>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</si>
  <si>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</si>
  <si>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</si>
  <si>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</si>
  <si>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</si>
  <si>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</si>
  <si>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</si>
  <si>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</si>
  <si>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</si>
  <si>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</si>
  <si>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</si>
  <si>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</si>
  <si>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</si>
  <si>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</si>
  <si>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</si>
  <si>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</si>
  <si>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</si>
  <si>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</si>
  <si>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</si>
  <si>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</si>
  <si>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</si>
  <si>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</si>
  <si>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</si>
  <si>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</si>
  <si>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</si>
  <si>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</si>
  <si>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</si>
  <si>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</si>
  <si>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</si>
  <si>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</si>
  <si>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</si>
  <si>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</si>
  <si>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</si>
  <si>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</si>
  <si>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</si>
  <si>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</si>
  <si>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</si>
  <si>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</si>
  <si>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</si>
  <si>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</si>
  <si>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</si>
  <si>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</si>
  <si>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</si>
  <si>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</si>
  <si>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</si>
  <si>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</si>
  <si>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</si>
  <si>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</si>
  <si>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</si>
  <si>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</si>
  <si>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</si>
  <si>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</si>
  <si>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</si>
  <si>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</si>
  <si>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</si>
  <si>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</si>
  <si>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</si>
  <si>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</si>
  <si>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</si>
  <si>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</si>
  <si>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</si>
  <si>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</si>
  <si>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</si>
  <si>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</si>
  <si>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</si>
  <si>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</si>
  <si>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</si>
  <si>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</si>
  <si>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</si>
  <si>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</si>
  <si>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</si>
  <si>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</si>
  <si>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</si>
  <si>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</si>
  <si>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</si>
  <si>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</si>
  <si>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</si>
  <si>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</si>
  <si>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</si>
  <si>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</si>
  <si>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</si>
  <si>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</si>
  <si>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</si>
  <si>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</si>
  <si>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</si>
  <si>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</si>
  <si>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</si>
  <si>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</si>
  <si>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</si>
  <si>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</si>
  <si>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</si>
  <si>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</si>
  <si>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</si>
  <si>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</si>
  <si>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</si>
  <si>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</si>
  <si>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</si>
  <si>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</si>
  <si>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</si>
  <si>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</si>
  <si>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</si>
  <si>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</si>
  <si>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</si>
  <si>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</si>
  <si>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</si>
  <si>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</si>
  <si>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</si>
  <si>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</si>
  <si>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</si>
  <si>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</si>
  <si>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</si>
  <si>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</si>
  <si>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</si>
  <si>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</si>
  <si>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</si>
  <si>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</si>
  <si>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F-大略</t>
  </si>
  <si>
    <t>F-芮特</t>
  </si>
  <si>
    <t>現金</t>
    <phoneticPr fontId="2" type="noConversion"/>
  </si>
  <si>
    <t>匯賺投資股分有限公司</t>
    <phoneticPr fontId="2" type="noConversion"/>
  </si>
  <si>
    <t>股票買進檢查表</t>
    <phoneticPr fontId="2" type="noConversion"/>
  </si>
  <si>
    <t>A1</t>
    <phoneticPr fontId="2" type="noConversion"/>
  </si>
  <si>
    <t>A2</t>
    <phoneticPr fontId="2" type="noConversion"/>
  </si>
  <si>
    <t>A3</t>
    <phoneticPr fontId="2" type="noConversion"/>
  </si>
  <si>
    <t>追蹤營收</t>
    <phoneticPr fontId="2" type="noConversion"/>
  </si>
  <si>
    <t>營運天數加快</t>
    <phoneticPr fontId="2" type="noConversion"/>
  </si>
  <si>
    <t>營業活動現金流量正向</t>
    <phoneticPr fontId="2" type="noConversion"/>
  </si>
  <si>
    <t>葛林排名</t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</si>
  <si>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</si>
  <si>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</si>
  <si>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</si>
  <si>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</si>
  <si>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</si>
  <si>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</si>
  <si>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</si>
  <si>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104/11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</si>
  <si>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</si>
  <si>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</si>
  <si>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</si>
  <si>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</si>
  <si>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</si>
  <si>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</si>
  <si>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</si>
  <si>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</si>
  <si>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</si>
  <si>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</si>
  <si>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</si>
  <si>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</si>
  <si>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</si>
  <si>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</si>
  <si>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</si>
  <si>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</si>
  <si>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</si>
  <si>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</si>
  <si>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</si>
  <si>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</si>
  <si>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</si>
  <si>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</si>
  <si>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</si>
  <si>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</si>
  <si>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</si>
  <si>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</si>
  <si>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</si>
  <si>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</si>
  <si>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</si>
  <si>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</si>
  <si>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</si>
  <si>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</si>
  <si>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</si>
  <si>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</si>
  <si>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</si>
  <si>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</si>
  <si>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</si>
  <si>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</si>
  <si>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</si>
  <si>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</si>
  <si>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</si>
  <si>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</si>
  <si>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</si>
  <si>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</si>
  <si>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101/02</t>
  </si>
  <si>
    <t>101/01</t>
  </si>
  <si>
    <t>100/12</t>
  </si>
  <si>
    <t>說明：自2013年起上市櫃公司因IFRSs會計準則規範，每月公告的營收必須是合併營收，不再公告非合併營收。2012年(含)前，合併營收是採自願公告。</t>
  </si>
  <si>
    <t>營業額(基期+推估)</t>
  </si>
  <si>
    <t>營業額差異</t>
  </si>
  <si>
    <t>最新營業利益率</t>
  </si>
  <si>
    <t>最新業內外比率</t>
  </si>
  <si>
    <t>最新ㄧ季本業EPS</t>
  </si>
  <si>
    <t>推估本季本業EPS</t>
  </si>
  <si>
    <t>全年獲利 與 PE</t>
  </si>
  <si>
    <t>盈餘成長/PE成長比</t>
  </si>
  <si>
    <t>PSR</t>
  </si>
  <si>
    <t>RPS強度</t>
  </si>
  <si>
    <t>技術線圖</t>
    <phoneticPr fontId="2" type="noConversion"/>
  </si>
  <si>
    <t>停損價</t>
    <phoneticPr fontId="2" type="noConversion"/>
  </si>
  <si>
    <t>更新價</t>
    <phoneticPr fontId="2" type="noConversion"/>
  </si>
  <si>
    <t>最後出場</t>
    <phoneticPr fontId="2" type="noConversion"/>
  </si>
  <si>
    <t>檢  查  項  目</t>
    <phoneticPr fontId="2" type="noConversion"/>
  </si>
  <si>
    <t>補 充 說 明</t>
    <phoneticPr fontId="2" type="noConversion"/>
  </si>
  <si>
    <t>結    果</t>
    <phoneticPr fontId="2" type="noConversion"/>
  </si>
  <si>
    <t>項  次</t>
    <phoneticPr fontId="2" type="noConversion"/>
  </si>
  <si>
    <t>常用代碼</t>
    <phoneticPr fontId="2" type="noConversion"/>
  </si>
  <si>
    <t>買進狀況</t>
    <phoneticPr fontId="2" type="noConversion"/>
  </si>
  <si>
    <t>買進理由</t>
    <phoneticPr fontId="2" type="noConversion"/>
  </si>
  <si>
    <t>摘要=&gt;</t>
    <phoneticPr fontId="2" type="noConversion"/>
  </si>
  <si>
    <t>首次加碼</t>
    <phoneticPr fontId="2" type="noConversion"/>
  </si>
  <si>
    <t>蟄伏機會</t>
    <phoneticPr fontId="2" type="noConversion"/>
  </si>
  <si>
    <t>布林機會</t>
    <phoneticPr fontId="2" type="noConversion"/>
  </si>
  <si>
    <t>威廉機會</t>
    <phoneticPr fontId="2" type="noConversion"/>
  </si>
  <si>
    <t>常用選項</t>
    <phoneticPr fontId="2" type="noConversion"/>
  </si>
  <si>
    <t>回補缺口</t>
    <phoneticPr fontId="2" type="noConversion"/>
  </si>
  <si>
    <t>均線糾結</t>
    <phoneticPr fontId="2" type="noConversion"/>
  </si>
  <si>
    <t>鱷魚開口</t>
    <phoneticPr fontId="2" type="noConversion"/>
  </si>
  <si>
    <t>下降突破</t>
    <phoneticPr fontId="2" type="noConversion"/>
  </si>
  <si>
    <t>亞當杯子</t>
    <phoneticPr fontId="2" type="noConversion"/>
  </si>
  <si>
    <t>外資佈局</t>
    <phoneticPr fontId="2" type="noConversion"/>
  </si>
  <si>
    <t>拉回季線</t>
    <phoneticPr fontId="2" type="noConversion"/>
  </si>
  <si>
    <t>當下文字記錄</t>
    <phoneticPr fontId="2" type="noConversion"/>
  </si>
  <si>
    <t>上櫃</t>
  </si>
  <si>
    <t>中華食品</t>
  </si>
  <si>
    <t>環泰企業</t>
  </si>
  <si>
    <t>世坤塑膠</t>
  </si>
  <si>
    <t>冠好科技</t>
  </si>
  <si>
    <t>萬國通路</t>
  </si>
  <si>
    <t>新昕纖維</t>
  </si>
  <si>
    <t>光明絲織</t>
  </si>
  <si>
    <t>興采實業</t>
  </si>
  <si>
    <t>新麥企業</t>
  </si>
  <si>
    <t>和勤精機</t>
  </si>
  <si>
    <t>精確實業</t>
  </si>
  <si>
    <t>健信科技</t>
  </si>
  <si>
    <t>福裕事業</t>
  </si>
  <si>
    <t>永彰機電</t>
  </si>
  <si>
    <t>霖</t>
  </si>
  <si>
    <t>協易機械</t>
  </si>
  <si>
    <t>擎邦國際</t>
  </si>
  <si>
    <t>鈦昇科技</t>
  </si>
  <si>
    <t>朋程科技</t>
  </si>
  <si>
    <t>大恭化學</t>
  </si>
  <si>
    <t>永純化工</t>
  </si>
  <si>
    <t>大立高</t>
  </si>
  <si>
    <t>康普材料</t>
  </si>
  <si>
    <t>(又又)邦</t>
  </si>
  <si>
    <t>精華光學</t>
  </si>
  <si>
    <t>合世生醫</t>
  </si>
  <si>
    <t>杏昌生技</t>
  </si>
  <si>
    <t>進階生物</t>
  </si>
  <si>
    <t>百略醫學</t>
  </si>
  <si>
    <t>台灣東洋</t>
  </si>
  <si>
    <t>濟生藥廠</t>
  </si>
  <si>
    <t>健喬信元</t>
  </si>
  <si>
    <t>優盛醫學</t>
  </si>
  <si>
    <t>晶宇生技</t>
  </si>
  <si>
    <t>中裕新藥</t>
  </si>
  <si>
    <t>聿新生技</t>
  </si>
  <si>
    <t>鐿鈦科技</t>
  </si>
  <si>
    <t>瑞基海洋</t>
  </si>
  <si>
    <t>安克生醫</t>
  </si>
  <si>
    <t>永昕生物</t>
  </si>
  <si>
    <t>豪展醫療</t>
  </si>
  <si>
    <t>強生製藥</t>
  </si>
  <si>
    <t>唐榮公司</t>
  </si>
  <si>
    <t>強新工業</t>
  </si>
  <si>
    <t>建錩實業</t>
  </si>
  <si>
    <t>恒耀國際</t>
  </si>
  <si>
    <t>有益鋼鐵</t>
  </si>
  <si>
    <t>普格科技</t>
  </si>
  <si>
    <t>鑫創科技</t>
  </si>
  <si>
    <t>威剛科技</t>
  </si>
  <si>
    <t>欣銓科技</t>
  </si>
  <si>
    <t>尼克森微</t>
  </si>
  <si>
    <t>台灣類比</t>
  </si>
  <si>
    <t>擎泰科技</t>
  </si>
  <si>
    <t>博磊科技</t>
  </si>
  <si>
    <t>德微科技</t>
  </si>
  <si>
    <t>家登精密</t>
  </si>
  <si>
    <t>世紀民生</t>
  </si>
  <si>
    <t>立衛科技</t>
  </si>
  <si>
    <t>鈺創科技</t>
  </si>
  <si>
    <t>中美矽晶</t>
  </si>
  <si>
    <t>合邦電子</t>
  </si>
  <si>
    <t>創惟科技</t>
  </si>
  <si>
    <t>普誠科技</t>
  </si>
  <si>
    <t>茂達電子</t>
  </si>
  <si>
    <t>凌泰科技</t>
  </si>
  <si>
    <t>旺玖科技</t>
  </si>
  <si>
    <t>元隆電子</t>
  </si>
  <si>
    <t>環球晶圓</t>
  </si>
  <si>
    <t>九暘電子</t>
  </si>
  <si>
    <t>商丞科技</t>
  </si>
  <si>
    <t>順達科</t>
  </si>
  <si>
    <t>廣寰</t>
  </si>
  <si>
    <t>曜越科技</t>
  </si>
  <si>
    <t>泓格科技</t>
  </si>
  <si>
    <t>協益電子</t>
  </si>
  <si>
    <t>上奇科技</t>
  </si>
  <si>
    <t>伍豐科技</t>
  </si>
  <si>
    <t>李洲科技</t>
  </si>
  <si>
    <t>昇銳電子</t>
  </si>
  <si>
    <t>泰谷光電</t>
  </si>
  <si>
    <t>益通光能</t>
  </si>
  <si>
    <t>先益電子</t>
  </si>
  <si>
    <t>卓韋光電</t>
  </si>
  <si>
    <t>揚華</t>
  </si>
  <si>
    <t>湯石照明</t>
  </si>
  <si>
    <t>達威光電</t>
  </si>
  <si>
    <t>久正光電</t>
  </si>
  <si>
    <t>晶采光電</t>
  </si>
  <si>
    <t>巨擘科技</t>
  </si>
  <si>
    <t>立碁電子</t>
  </si>
  <si>
    <t>聯亞光電</t>
  </si>
  <si>
    <t>璟德電子</t>
  </si>
  <si>
    <t>台灣嘉碩</t>
  </si>
  <si>
    <t>東浦精密</t>
  </si>
  <si>
    <t>昇達科技</t>
  </si>
  <si>
    <t>聯光通信</t>
  </si>
  <si>
    <t>台聯電訊</t>
  </si>
  <si>
    <t>前鼎光電</t>
  </si>
  <si>
    <t>亞元科技</t>
  </si>
  <si>
    <t>振曜科技</t>
  </si>
  <si>
    <t>豪勉科技</t>
  </si>
  <si>
    <t>立端科技</t>
  </si>
  <si>
    <t>普萊德科</t>
  </si>
  <si>
    <t>凱碩科技</t>
  </si>
  <si>
    <t>常珵科技</t>
  </si>
  <si>
    <t>天宇工業</t>
  </si>
  <si>
    <t>川寶科技</t>
  </si>
  <si>
    <t>富喬工業</t>
  </si>
  <si>
    <t>僑威科技</t>
  </si>
  <si>
    <t>點晶科技</t>
  </si>
  <si>
    <t>祥業科技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</si>
  <si>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</si>
  <si>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</si>
  <si>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</si>
  <si>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</si>
  <si>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</si>
  <si>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</si>
  <si>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</si>
  <si>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</si>
  <si>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</si>
  <si>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</si>
  <si>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</si>
  <si>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</si>
  <si>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</si>
  <si>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</si>
  <si>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萬旭電業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</si>
  <si>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</si>
  <si>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</si>
  <si>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</si>
  <si>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</si>
  <si>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</si>
  <si>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</si>
  <si>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</si>
  <si>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良維科技</t>
  </si>
  <si>
    <t>迅德興業</t>
  </si>
  <si>
    <t>今展科技</t>
  </si>
  <si>
    <t>鉅橡企業</t>
  </si>
  <si>
    <t>博大科技</t>
  </si>
  <si>
    <t>越峰電子</t>
  </si>
  <si>
    <t>博智電子</t>
  </si>
  <si>
    <t>加高電子</t>
  </si>
  <si>
    <t>尚茂電子</t>
  </si>
  <si>
    <t>金居開發</t>
  </si>
  <si>
    <t>利機企業</t>
  </si>
  <si>
    <t>建達國際</t>
  </si>
  <si>
    <t>佳營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</si>
  <si>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</si>
  <si>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</si>
  <si>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</si>
  <si>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</si>
  <si>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</si>
  <si>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</si>
  <si>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</si>
  <si>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友威科技</t>
  </si>
  <si>
    <t>閎康科技</t>
  </si>
  <si>
    <t>駿熠電子</t>
  </si>
  <si>
    <t>漢康科技</t>
  </si>
  <si>
    <t>金利精密</t>
  </si>
  <si>
    <t>彩富電子</t>
  </si>
  <si>
    <t>晉倫科技</t>
  </si>
  <si>
    <t>萬潤科技</t>
  </si>
  <si>
    <t>星雲電腦</t>
  </si>
  <si>
    <t>大園汽電</t>
  </si>
  <si>
    <t>富宇地產</t>
  </si>
  <si>
    <t>永信建設</t>
  </si>
  <si>
    <t>德昌營造</t>
  </si>
  <si>
    <t>三豐建設</t>
  </si>
  <si>
    <t>雙喜營造</t>
  </si>
  <si>
    <t>力泰建設</t>
  </si>
  <si>
    <t>志嘉建設</t>
  </si>
  <si>
    <t>臺聯貨櫃</t>
  </si>
  <si>
    <t>中連貨運</t>
  </si>
  <si>
    <t>瓦城泰統</t>
  </si>
  <si>
    <t>圓方創新</t>
  </si>
  <si>
    <t>亞都麗緻</t>
  </si>
  <si>
    <t>知本老爺</t>
  </si>
  <si>
    <t>日盛金控</t>
  </si>
  <si>
    <t>宏遠證券</t>
  </si>
  <si>
    <t>康和證券</t>
  </si>
  <si>
    <t>全家便利</t>
  </si>
  <si>
    <t>精剛精密</t>
  </si>
  <si>
    <t>晟田科技</t>
  </si>
  <si>
    <t>白紗科技</t>
  </si>
  <si>
    <t>裕國冷凍</t>
  </si>
  <si>
    <t>沈氏藝印</t>
  </si>
  <si>
    <t>大田精密</t>
  </si>
  <si>
    <t>國統國際</t>
  </si>
  <si>
    <t>鈊象電子</t>
  </si>
  <si>
    <t>宇峻奧汀</t>
  </si>
  <si>
    <t>得利影視</t>
  </si>
  <si>
    <t>遊戲橘子</t>
  </si>
  <si>
    <t>試單買進</t>
    <phoneticPr fontId="2" type="noConversion"/>
  </si>
  <si>
    <t>再度加碼</t>
    <phoneticPr fontId="2" type="noConversion"/>
  </si>
  <si>
    <t>104_11</t>
    <phoneticPr fontId="2" type="noConversion"/>
  </si>
  <si>
    <t>東隆興業</t>
  </si>
  <si>
    <t>飛寶動能</t>
  </si>
  <si>
    <t>金洲海洋</t>
  </si>
  <si>
    <t>松懋工業</t>
  </si>
  <si>
    <t>力肯實業</t>
  </si>
  <si>
    <t>高鋒工業</t>
  </si>
  <si>
    <t>江興鍛壓</t>
  </si>
  <si>
    <t>宏易精密</t>
  </si>
  <si>
    <t>至興精機</t>
  </si>
  <si>
    <t>皇田工業</t>
  </si>
  <si>
    <t>唐鋒實業</t>
  </si>
  <si>
    <t>訊聯生物</t>
  </si>
  <si>
    <t>永日化工</t>
  </si>
  <si>
    <t>邦特生技</t>
  </si>
  <si>
    <t>天良生技</t>
  </si>
  <si>
    <t>中天生技</t>
  </si>
  <si>
    <t>聯合骨科</t>
  </si>
  <si>
    <t>曜亞國際</t>
  </si>
  <si>
    <t>創源生技</t>
  </si>
  <si>
    <t>安成藥業</t>
  </si>
  <si>
    <t>杏國新藥</t>
  </si>
  <si>
    <t>合一生技</t>
  </si>
  <si>
    <t>盛弘醫藥</t>
  </si>
  <si>
    <t>松和工業</t>
  </si>
  <si>
    <t>笙泉科技</t>
  </si>
  <si>
    <t>倚強科技</t>
  </si>
  <si>
    <t>逸昌科技</t>
  </si>
  <si>
    <t>廣穎電通</t>
  </si>
  <si>
    <t>信驊科技</t>
  </si>
  <si>
    <t>頎邦科技</t>
  </si>
  <si>
    <t>紘康科技</t>
  </si>
  <si>
    <t>誠遠科技</t>
  </si>
  <si>
    <t>宏捷科技</t>
  </si>
  <si>
    <t>協禧電機</t>
  </si>
  <si>
    <t>信億科技</t>
  </si>
  <si>
    <t>茂訊電腦</t>
  </si>
  <si>
    <t>旭品科技</t>
  </si>
  <si>
    <t>安勤科技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</si>
  <si>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</si>
  <si>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</si>
  <si>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</si>
  <si>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</si>
  <si>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</si>
  <si>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</si>
  <si>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</si>
  <si>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</si>
  <si>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</si>
  <si>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</si>
  <si>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</si>
  <si>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群聯電子</t>
  </si>
  <si>
    <t>錦明實</t>
  </si>
  <si>
    <t>先進光電</t>
  </si>
  <si>
    <t>聯一光學</t>
  </si>
  <si>
    <t>迎輝科技</t>
  </si>
  <si>
    <t>安可光電</t>
  </si>
  <si>
    <t>兆遠科技</t>
  </si>
  <si>
    <t>晶達光電</t>
  </si>
  <si>
    <t>光聯科技</t>
  </si>
  <si>
    <t>應華精密</t>
  </si>
  <si>
    <t>元太科技</t>
  </si>
  <si>
    <t>洛碁實業</t>
  </si>
  <si>
    <t>華宏新技</t>
  </si>
  <si>
    <t>鼎天國際</t>
  </si>
  <si>
    <t>長天科技</t>
  </si>
  <si>
    <t>系通科技</t>
  </si>
  <si>
    <t>台林電通</t>
  </si>
  <si>
    <t>榮群電訊</t>
  </si>
  <si>
    <t>德勝科技</t>
  </si>
  <si>
    <t>好德科技</t>
  </si>
  <si>
    <t>樺晟電子</t>
  </si>
  <si>
    <t>志豐電子</t>
  </si>
  <si>
    <t>優群科技</t>
  </si>
  <si>
    <t>佳穎精密</t>
  </si>
  <si>
    <t>建舜電子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</si>
  <si>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</si>
  <si>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</si>
  <si>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</si>
  <si>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</si>
  <si>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</si>
  <si>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</si>
  <si>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</si>
  <si>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凱崴電子</t>
  </si>
  <si>
    <t>華美電子</t>
  </si>
  <si>
    <t>久威國際</t>
  </si>
  <si>
    <t>九豪精密</t>
  </si>
  <si>
    <t>松上電子</t>
  </si>
  <si>
    <t>育富電子</t>
  </si>
  <si>
    <t>慶生電子</t>
  </si>
  <si>
    <t>中國探針</t>
  </si>
  <si>
    <t>佳邦科技</t>
  </si>
  <si>
    <t>蜜望實企</t>
  </si>
  <si>
    <t>保銳科技</t>
  </si>
  <si>
    <t>正淩精工</t>
  </si>
  <si>
    <t>泰藝電子</t>
  </si>
  <si>
    <t>安馳科技</t>
  </si>
  <si>
    <t>亞矽科技</t>
  </si>
  <si>
    <t>擎亞科技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</si>
  <si>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</si>
  <si>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</si>
  <si>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</si>
  <si>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</si>
  <si>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</si>
  <si>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</si>
  <si>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</si>
  <si>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</si>
  <si>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</si>
  <si>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</si>
  <si>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</si>
  <si>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弘塑科技</t>
  </si>
  <si>
    <t>宜特科技</t>
  </si>
  <si>
    <t>雙鴻科技</t>
  </si>
  <si>
    <t>漢科系統</t>
  </si>
  <si>
    <t>陽程科技</t>
  </si>
  <si>
    <t>盈正豫順</t>
  </si>
  <si>
    <t>鑫科材料</t>
  </si>
  <si>
    <t>三聯科技</t>
  </si>
  <si>
    <t>勝麗國際</t>
  </si>
  <si>
    <t>元山科技</t>
  </si>
  <si>
    <t>建暐精密</t>
  </si>
  <si>
    <t>台灣精星</t>
  </si>
  <si>
    <t>綠意開發</t>
  </si>
  <si>
    <t>亞昕國際</t>
  </si>
  <si>
    <t>富旺國際</t>
  </si>
  <si>
    <t>台驊投控</t>
  </si>
  <si>
    <t>正德海運</t>
  </si>
  <si>
    <t>六角國際</t>
  </si>
  <si>
    <t>大眾證券</t>
  </si>
  <si>
    <t>滿心企業</t>
  </si>
  <si>
    <t>新洲全球</t>
  </si>
  <si>
    <t>大甲永和</t>
  </si>
  <si>
    <t>耀億工業</t>
  </si>
  <si>
    <t>智基科技</t>
  </si>
  <si>
    <t>崑鼎投控</t>
  </si>
  <si>
    <t>花王企業</t>
  </si>
  <si>
    <t>宏大拉鍊</t>
  </si>
  <si>
    <t>合騏工業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</si>
  <si>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</si>
  <si>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</si>
  <si>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</si>
  <si>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</si>
  <si>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</si>
  <si>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</si>
  <si>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</si>
  <si>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</si>
  <si>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華研音樂</t>
  </si>
  <si>
    <t>時報文化</t>
  </si>
  <si>
    <t>天品聯合</t>
  </si>
  <si>
    <t>庫藏效應</t>
    <phoneticPr fontId="2" type="noConversion"/>
  </si>
  <si>
    <t>業內業外趨勢</t>
    <phoneticPr fontId="2" type="noConversion"/>
  </si>
  <si>
    <t>毛利成長&gt;15%</t>
    <phoneticPr fontId="2" type="noConversion"/>
  </si>
  <si>
    <t>營收成長&gt;15%</t>
    <phoneticPr fontId="2" type="noConversion"/>
  </si>
  <si>
    <t>請將技術線圖複製於儲純格內</t>
    <phoneticPr fontId="2" type="noConversion"/>
  </si>
  <si>
    <t>起漲缺口</t>
    <phoneticPr fontId="2" type="noConversion"/>
  </si>
  <si>
    <t>中繼缺口</t>
    <phoneticPr fontId="2" type="noConversion"/>
  </si>
  <si>
    <t>Z1</t>
    <phoneticPr fontId="2" type="noConversion"/>
  </si>
  <si>
    <t>Z2</t>
    <phoneticPr fontId="2" type="noConversion"/>
  </si>
  <si>
    <t>大盤季線方向  與   重要缺口</t>
    <phoneticPr fontId="2" type="noConversion"/>
  </si>
  <si>
    <t>其他補充</t>
    <phoneticPr fontId="2" type="noConversion"/>
  </si>
  <si>
    <t xml:space="preserve">新光R1          </t>
  </si>
  <si>
    <t xml:space="preserve">富邦R2          </t>
  </si>
  <si>
    <t xml:space="preserve">國泰R2          </t>
  </si>
  <si>
    <t xml:space="preserve">同泰            </t>
  </si>
  <si>
    <t xml:space="preserve">台數科          </t>
  </si>
  <si>
    <t xml:space="preserve">F-波力          </t>
  </si>
  <si>
    <t>明基醫</t>
  </si>
  <si>
    <t>F-VHQ</t>
  </si>
  <si>
    <t>中磊(5388)</t>
  </si>
  <si>
    <t>中磊（5388）</t>
  </si>
  <si>
    <t>啟碁(6285)</t>
  </si>
  <si>
    <t>啟碁（6285）</t>
  </si>
  <si>
    <t>中磊(5388)</t>
    <phoneticPr fontId="2" type="noConversion"/>
  </si>
  <si>
    <t>啟碁(6285)</t>
    <phoneticPr fontId="2" type="noConversion"/>
  </si>
  <si>
    <t>PSR=&gt;</t>
  </si>
  <si>
    <t>威廉55&gt;中值-50</t>
  </si>
  <si>
    <t>季線55乖離&lt;15%</t>
  </si>
  <si>
    <t>融資餘額&lt;55天融資餘額的1.5倍</t>
  </si>
  <si>
    <t>集保籌碼正向</t>
  </si>
  <si>
    <t>本益比與本益成長比&lt;0.5</t>
  </si>
  <si>
    <t>RPS&gt;=75</t>
  </si>
  <si>
    <t>葛林排名300名以內</t>
  </si>
  <si>
    <t>A4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</si>
  <si>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</si>
  <si>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</si>
  <si>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</si>
  <si>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  <phoneticPr fontId="2" type="noConversion"/>
  </si>
  <si>
    <t>B5</t>
    <phoneticPr fontId="2" type="noConversion"/>
  </si>
  <si>
    <t>C1</t>
    <phoneticPr fontId="2" type="noConversion"/>
  </si>
  <si>
    <t>C2</t>
    <phoneticPr fontId="2" type="noConversion"/>
  </si>
  <si>
    <t>C3</t>
    <phoneticPr fontId="2" type="noConversion"/>
  </si>
  <si>
    <t>D4</t>
    <phoneticPr fontId="2" type="noConversion"/>
  </si>
  <si>
    <t xml:space="preserve">億豐            </t>
  </si>
  <si>
    <t>天蔥</t>
  </si>
  <si>
    <t>旭然</t>
  </si>
  <si>
    <t>神盾</t>
  </si>
  <si>
    <t>持股/單位數分級</t>
  </si>
  <si>
    <t>人  數</t>
  </si>
  <si>
    <t>股  數/單位數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</si>
  <si>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</si>
  <si>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</si>
  <si>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</si>
  <si>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</si>
  <si>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</si>
  <si>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</si>
  <si>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</si>
  <si>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</si>
  <si>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</si>
  <si>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</si>
  <si>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</si>
  <si>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</si>
  <si>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</si>
  <si>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</si>
  <si>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</si>
  <si>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</si>
  <si>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</si>
  <si>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>到期日</t>
  </si>
  <si>
    <t>轉換價格</t>
  </si>
  <si>
    <t>最高價</t>
  </si>
  <si>
    <t>最低價</t>
  </si>
  <si>
    <t>收盤價</t>
  </si>
  <si>
    <t>漲跌幅</t>
  </si>
  <si>
    <t>成交量</t>
  </si>
  <si>
    <t>發行面額</t>
  </si>
  <si>
    <t>發行總額(千元)</t>
  </si>
  <si>
    <t>票面利率</t>
  </si>
  <si>
    <t>發行溢價</t>
  </si>
  <si>
    <t>發行日</t>
  </si>
  <si>
    <t>上市日</t>
  </si>
  <si>
    <t>下市日</t>
  </si>
  <si>
    <t>可否轉換</t>
  </si>
  <si>
    <t>Y</t>
  </si>
  <si>
    <t>轉換開始日</t>
  </si>
  <si>
    <t>轉換終止日</t>
  </si>
  <si>
    <t>轉換標的</t>
  </si>
  <si>
    <t>愛之味</t>
  </si>
  <si>
    <t>轉換價格日</t>
  </si>
  <si>
    <t>配股基準日</t>
  </si>
  <si>
    <t>付息日</t>
  </si>
  <si>
    <t>付息次數</t>
  </si>
  <si>
    <t>是否有擔保</t>
  </si>
  <si>
    <t>N</t>
  </si>
  <si>
    <t>轉換比例</t>
  </si>
  <si>
    <t>機構代碼</t>
  </si>
  <si>
    <t>機構名稱</t>
  </si>
  <si>
    <t>債券代碼</t>
  </si>
  <si>
    <t>發行日期</t>
  </si>
  <si>
    <t>到期日期</t>
  </si>
  <si>
    <t>發行總額</t>
  </si>
  <si>
    <t>目前餘額</t>
  </si>
  <si>
    <t>1217</t>
  </si>
  <si>
    <t/>
  </si>
  <si>
    <t>1218</t>
  </si>
  <si>
    <t>泰山企業</t>
  </si>
  <si>
    <t>1258</t>
  </si>
  <si>
    <t>1316</t>
  </si>
  <si>
    <t>上曜</t>
  </si>
  <si>
    <t>1319</t>
  </si>
  <si>
    <t>東陽</t>
  </si>
  <si>
    <t>1336</t>
  </si>
  <si>
    <t>1432</t>
  </si>
  <si>
    <t>大魯閣</t>
  </si>
  <si>
    <t>1442</t>
  </si>
  <si>
    <t>名軒</t>
  </si>
  <si>
    <t>1464</t>
  </si>
  <si>
    <t>得力實業</t>
  </si>
  <si>
    <t>1466</t>
  </si>
  <si>
    <t>聚隆</t>
  </si>
  <si>
    <t>1477</t>
  </si>
  <si>
    <t>聚陽實業</t>
  </si>
  <si>
    <t>1506</t>
  </si>
  <si>
    <t>正道</t>
  </si>
  <si>
    <t>1530</t>
  </si>
  <si>
    <t>亞崴機電</t>
  </si>
  <si>
    <t>1566</t>
  </si>
  <si>
    <t>1569</t>
  </si>
  <si>
    <t>1582</t>
  </si>
  <si>
    <t>信錦</t>
  </si>
  <si>
    <t>1583</t>
  </si>
  <si>
    <t>程泰</t>
  </si>
  <si>
    <t>1586</t>
  </si>
  <si>
    <t>1589</t>
  </si>
  <si>
    <t>F-永冠</t>
  </si>
  <si>
    <t>1593</t>
  </si>
  <si>
    <t>1595</t>
  </si>
  <si>
    <t>1611</t>
  </si>
  <si>
    <t>中電</t>
  </si>
  <si>
    <t>1626</t>
  </si>
  <si>
    <t>F-艾美</t>
  </si>
  <si>
    <t>1707</t>
  </si>
  <si>
    <t>葡萄王</t>
  </si>
  <si>
    <t>1709</t>
  </si>
  <si>
    <t>和益化工</t>
  </si>
  <si>
    <t>1712</t>
  </si>
  <si>
    <t>興農</t>
  </si>
  <si>
    <t>1715</t>
  </si>
  <si>
    <t>萬洲化學</t>
  </si>
  <si>
    <t>1733</t>
  </si>
  <si>
    <t>五鼎</t>
  </si>
  <si>
    <t>1752</t>
  </si>
  <si>
    <t>1808</t>
  </si>
  <si>
    <t>潤隆</t>
  </si>
  <si>
    <t>1815</t>
  </si>
  <si>
    <t>1909</t>
  </si>
  <si>
    <t>榮成</t>
  </si>
  <si>
    <t>2006</t>
  </si>
  <si>
    <t>東和鋼鐵</t>
  </si>
  <si>
    <t>2022</t>
  </si>
  <si>
    <t>聚亨</t>
  </si>
  <si>
    <t>2031</t>
  </si>
  <si>
    <t>新光鋼</t>
  </si>
  <si>
    <t>2115</t>
  </si>
  <si>
    <t>F-六暉</t>
  </si>
  <si>
    <t>2228</t>
  </si>
  <si>
    <t>劍麟</t>
  </si>
  <si>
    <t>2231</t>
  </si>
  <si>
    <t>為升</t>
  </si>
  <si>
    <t>2332</t>
  </si>
  <si>
    <t>友訊科技</t>
  </si>
  <si>
    <t>2353</t>
  </si>
  <si>
    <t>宏科股份有限公司</t>
  </si>
  <si>
    <t>2360</t>
  </si>
  <si>
    <t>致茂電子</t>
  </si>
  <si>
    <t>2393</t>
  </si>
  <si>
    <t>億光電子</t>
  </si>
  <si>
    <t>2402</t>
  </si>
  <si>
    <t>毅嘉科技</t>
  </si>
  <si>
    <t>2406</t>
  </si>
  <si>
    <t>國碩科技</t>
  </si>
  <si>
    <t>2419</t>
  </si>
  <si>
    <t>仲琦</t>
  </si>
  <si>
    <t>2426</t>
  </si>
  <si>
    <t>鼎元</t>
  </si>
  <si>
    <t>2428</t>
  </si>
  <si>
    <t>興勤</t>
  </si>
  <si>
    <t>2437</t>
  </si>
  <si>
    <t>旺詮</t>
  </si>
  <si>
    <t>2439</t>
  </si>
  <si>
    <t>美律</t>
  </si>
  <si>
    <t>2442</t>
  </si>
  <si>
    <t>新美齊</t>
  </si>
  <si>
    <t>2444</t>
  </si>
  <si>
    <t>友旺科技</t>
  </si>
  <si>
    <t>2456</t>
  </si>
  <si>
    <t>奇力新</t>
  </si>
  <si>
    <t>2457</t>
  </si>
  <si>
    <t>飛宏科技</t>
  </si>
  <si>
    <t>2461</t>
  </si>
  <si>
    <t>光群雷射</t>
  </si>
  <si>
    <t>2462</t>
  </si>
  <si>
    <t>良得電</t>
  </si>
  <si>
    <t>2466</t>
  </si>
  <si>
    <t>冠西電</t>
  </si>
  <si>
    <t>2478</t>
  </si>
  <si>
    <t>大毅</t>
  </si>
  <si>
    <t>2481</t>
  </si>
  <si>
    <t>強茂</t>
  </si>
  <si>
    <t>2486</t>
  </si>
  <si>
    <t>一詮精密</t>
  </si>
  <si>
    <t>2515</t>
  </si>
  <si>
    <t>中華工程</t>
  </si>
  <si>
    <t>2528</t>
  </si>
  <si>
    <t>皇普建設</t>
  </si>
  <si>
    <t>2535</t>
  </si>
  <si>
    <t>達工</t>
  </si>
  <si>
    <t>2537</t>
  </si>
  <si>
    <t>聯上開發</t>
  </si>
  <si>
    <t>2538</t>
  </si>
  <si>
    <t>基泰建設</t>
  </si>
  <si>
    <t>2547</t>
  </si>
  <si>
    <t>日勝</t>
  </si>
  <si>
    <t>2596</t>
  </si>
  <si>
    <t>2601</t>
  </si>
  <si>
    <t>益航</t>
  </si>
  <si>
    <t>2609</t>
  </si>
  <si>
    <t>槢晱?瞗</t>
  </si>
  <si>
    <t>YD43AE</t>
  </si>
  <si>
    <t>陽明海運</t>
  </si>
  <si>
    <t>2610</t>
  </si>
  <si>
    <t>華航</t>
  </si>
  <si>
    <t>2613</t>
  </si>
  <si>
    <t>中櫃</t>
  </si>
  <si>
    <t>2616</t>
  </si>
  <si>
    <t>山隆通運</t>
  </si>
  <si>
    <t>2636</t>
  </si>
  <si>
    <t>台驊國際</t>
  </si>
  <si>
    <t>2637</t>
  </si>
  <si>
    <t>F-慧洋</t>
  </si>
  <si>
    <t>2640</t>
  </si>
  <si>
    <t>2641</t>
  </si>
  <si>
    <t>2707</t>
  </si>
  <si>
    <t>晶華酒店</t>
  </si>
  <si>
    <t>2724</t>
  </si>
  <si>
    <t>2726</t>
  </si>
  <si>
    <t>2734</t>
  </si>
  <si>
    <t>2841</t>
  </si>
  <si>
    <t>台灣土地</t>
  </si>
  <si>
    <t>2886</t>
  </si>
  <si>
    <t>兆豐金</t>
  </si>
  <si>
    <t>2888</t>
  </si>
  <si>
    <t>新光金</t>
  </si>
  <si>
    <t>2911</t>
  </si>
  <si>
    <t>麗嬰房</t>
  </si>
  <si>
    <t>2915</t>
  </si>
  <si>
    <t>潤泰全球</t>
  </si>
  <si>
    <t>2924</t>
  </si>
  <si>
    <t>3010</t>
  </si>
  <si>
    <t>華立</t>
  </si>
  <si>
    <t>3018</t>
  </si>
  <si>
    <t>同開科技</t>
  </si>
  <si>
    <t>3023</t>
  </si>
  <si>
    <t>信邦電子</t>
  </si>
  <si>
    <t>3029</t>
  </si>
  <si>
    <t>零壹科技</t>
  </si>
  <si>
    <t>3033</t>
  </si>
  <si>
    <t>威健</t>
  </si>
  <si>
    <t>3042</t>
  </si>
  <si>
    <t>晶技</t>
  </si>
  <si>
    <t>3047</t>
  </si>
  <si>
    <t>訊舟科技</t>
  </si>
  <si>
    <t>3048</t>
  </si>
  <si>
    <t>益登</t>
  </si>
  <si>
    <t>3054</t>
  </si>
  <si>
    <t>萬國科技</t>
  </si>
  <si>
    <t>3056</t>
  </si>
  <si>
    <t>總太地產</t>
  </si>
  <si>
    <t>3086</t>
  </si>
  <si>
    <t>3128</t>
  </si>
  <si>
    <t>3149</t>
  </si>
  <si>
    <t>正達國際</t>
  </si>
  <si>
    <t>3163</t>
  </si>
  <si>
    <t>3171</t>
  </si>
  <si>
    <t>3205</t>
  </si>
  <si>
    <t>3224</t>
  </si>
  <si>
    <t>3234</t>
  </si>
  <si>
    <t>3252</t>
  </si>
  <si>
    <t>3272</t>
  </si>
  <si>
    <t>3288</t>
  </si>
  <si>
    <t>3289</t>
  </si>
  <si>
    <t>3290</t>
  </si>
  <si>
    <t>3299</t>
  </si>
  <si>
    <t>3313</t>
  </si>
  <si>
    <t>3323</t>
  </si>
  <si>
    <t>3325</t>
  </si>
  <si>
    <t>3338</t>
  </si>
  <si>
    <t>泰碩電子</t>
  </si>
  <si>
    <t>3339</t>
  </si>
  <si>
    <t>3383</t>
  </si>
  <si>
    <t>新世紀</t>
  </si>
  <si>
    <t>3438</t>
  </si>
  <si>
    <t>3465</t>
  </si>
  <si>
    <t>3484</t>
  </si>
  <si>
    <t>3489</t>
  </si>
  <si>
    <t>YK11AA</t>
  </si>
  <si>
    <t>3494</t>
  </si>
  <si>
    <t>誠研科技</t>
  </si>
  <si>
    <t>3514</t>
  </si>
  <si>
    <t>昱晶能源</t>
  </si>
  <si>
    <t>3520</t>
  </si>
  <si>
    <t>YM08AA</t>
  </si>
  <si>
    <t>3526</t>
  </si>
  <si>
    <t>3535</t>
  </si>
  <si>
    <t>晶彩科</t>
  </si>
  <si>
    <t>3545</t>
  </si>
  <si>
    <t>敦泰</t>
  </si>
  <si>
    <t>3552</t>
  </si>
  <si>
    <t>同致電子</t>
  </si>
  <si>
    <t>3555</t>
  </si>
  <si>
    <t>YP40AA</t>
  </si>
  <si>
    <t>3556</t>
  </si>
  <si>
    <t>3557</t>
  </si>
  <si>
    <t>嘉威光電</t>
  </si>
  <si>
    <t>3564</t>
  </si>
  <si>
    <t>3576</t>
  </si>
  <si>
    <t>新日光</t>
  </si>
  <si>
    <t>3580</t>
  </si>
  <si>
    <t>3591</t>
  </si>
  <si>
    <t>艾笛森</t>
  </si>
  <si>
    <t>3594</t>
  </si>
  <si>
    <t>3598</t>
  </si>
  <si>
    <t>奕力</t>
  </si>
  <si>
    <t>3607</t>
  </si>
  <si>
    <t>谷崧</t>
  </si>
  <si>
    <t>3609</t>
  </si>
  <si>
    <t>3611</t>
  </si>
  <si>
    <t>3625</t>
  </si>
  <si>
    <t>3631</t>
  </si>
  <si>
    <t>3632</t>
  </si>
  <si>
    <t>3662</t>
  </si>
  <si>
    <t>3663</t>
  </si>
  <si>
    <t>3665</t>
  </si>
  <si>
    <t>F-貿聯</t>
  </si>
  <si>
    <t>3680</t>
  </si>
  <si>
    <t>3689</t>
  </si>
  <si>
    <t>3691</t>
  </si>
  <si>
    <t>3693</t>
  </si>
  <si>
    <t>3698</t>
  </si>
  <si>
    <t>隆達</t>
  </si>
  <si>
    <t>3702</t>
  </si>
  <si>
    <t>大聯大</t>
  </si>
  <si>
    <t>4104</t>
  </si>
  <si>
    <t>佳醫</t>
  </si>
  <si>
    <t>4107</t>
  </si>
  <si>
    <t>4109</t>
  </si>
  <si>
    <t>4113</t>
  </si>
  <si>
    <t>4114</t>
  </si>
  <si>
    <t>4119</t>
  </si>
  <si>
    <t>旭富製藥</t>
  </si>
  <si>
    <t>4123</t>
  </si>
  <si>
    <t>4129</t>
  </si>
  <si>
    <t>4130</t>
  </si>
  <si>
    <t>4137</t>
  </si>
  <si>
    <t>F-麗豐</t>
  </si>
  <si>
    <t>4138</t>
  </si>
  <si>
    <t>4141</t>
  </si>
  <si>
    <t>F - 龍燈</t>
  </si>
  <si>
    <t>4153</t>
  </si>
  <si>
    <t>4161</t>
  </si>
  <si>
    <t>4163</t>
  </si>
  <si>
    <t>4164</t>
  </si>
  <si>
    <t>承業醫</t>
  </si>
  <si>
    <t>4170</t>
  </si>
  <si>
    <t>鑫品生醫</t>
  </si>
  <si>
    <t>YBU201</t>
  </si>
  <si>
    <t>4181</t>
  </si>
  <si>
    <t>百丹特</t>
  </si>
  <si>
    <t>4306</t>
  </si>
  <si>
    <t>炎洲</t>
  </si>
  <si>
    <t>4414</t>
  </si>
  <si>
    <t>如興</t>
  </si>
  <si>
    <t>4416</t>
  </si>
  <si>
    <t>4523</t>
  </si>
  <si>
    <t>4532</t>
  </si>
  <si>
    <t>瑞智精密</t>
  </si>
  <si>
    <t>4534</t>
  </si>
  <si>
    <t>慶騰精密</t>
  </si>
  <si>
    <t>4541</t>
  </si>
  <si>
    <t>4703</t>
  </si>
  <si>
    <t>4714</t>
  </si>
  <si>
    <t>4733</t>
  </si>
  <si>
    <t>上緯企業</t>
  </si>
  <si>
    <t>4735</t>
  </si>
  <si>
    <t>4736</t>
  </si>
  <si>
    <t>4739</t>
  </si>
  <si>
    <t>4745</t>
  </si>
  <si>
    <t>4746</t>
  </si>
  <si>
    <t>台耀</t>
  </si>
  <si>
    <t>4906</t>
  </si>
  <si>
    <t>正文</t>
  </si>
  <si>
    <t>4916</t>
  </si>
  <si>
    <t>事欣科</t>
  </si>
  <si>
    <t>4927</t>
  </si>
  <si>
    <t>4933</t>
  </si>
  <si>
    <t>4939</t>
  </si>
  <si>
    <t>4944</t>
  </si>
  <si>
    <t>4956</t>
  </si>
  <si>
    <t>光鋐</t>
  </si>
  <si>
    <t>4958</t>
  </si>
  <si>
    <t>F-臻鼎</t>
  </si>
  <si>
    <t>49581E</t>
  </si>
  <si>
    <t>4971</t>
  </si>
  <si>
    <t>4974</t>
  </si>
  <si>
    <t>4979</t>
  </si>
  <si>
    <t>4991</t>
  </si>
  <si>
    <t>4995</t>
  </si>
  <si>
    <t>5213</t>
  </si>
  <si>
    <t>5215</t>
  </si>
  <si>
    <t>F-科嘉</t>
  </si>
  <si>
    <t>5230</t>
  </si>
  <si>
    <t>5259</t>
  </si>
  <si>
    <t>清惠</t>
  </si>
  <si>
    <t>5284</t>
  </si>
  <si>
    <t>5285</t>
  </si>
  <si>
    <t>界霖</t>
  </si>
  <si>
    <t>5289</t>
  </si>
  <si>
    <t>宜鼎國際</t>
  </si>
  <si>
    <t>5309</t>
  </si>
  <si>
    <t>5388</t>
  </si>
  <si>
    <t>中磊電子</t>
  </si>
  <si>
    <t>5392</t>
  </si>
  <si>
    <t>5475</t>
  </si>
  <si>
    <t>5491</t>
  </si>
  <si>
    <t>5519</t>
  </si>
  <si>
    <t>隆大營建</t>
  </si>
  <si>
    <t>5522</t>
  </si>
  <si>
    <t>遠雄建設</t>
  </si>
  <si>
    <t>5523</t>
  </si>
  <si>
    <t>宏都</t>
  </si>
  <si>
    <t>YM01AA</t>
  </si>
  <si>
    <t>5529</t>
  </si>
  <si>
    <t>5534</t>
  </si>
  <si>
    <t>長虹</t>
  </si>
  <si>
    <t>5608</t>
  </si>
  <si>
    <t>四維航業</t>
  </si>
  <si>
    <t>5905</t>
  </si>
  <si>
    <t>6105</t>
  </si>
  <si>
    <t>6107</t>
  </si>
  <si>
    <t>6115</t>
  </si>
  <si>
    <t>鎰勝</t>
  </si>
  <si>
    <t>6127</t>
  </si>
  <si>
    <t>6131</t>
  </si>
  <si>
    <t>悠克電子</t>
  </si>
  <si>
    <t>6134</t>
  </si>
  <si>
    <t>6139</t>
  </si>
  <si>
    <t>亞翔工程</t>
  </si>
  <si>
    <t>6146</t>
  </si>
  <si>
    <t>6153</t>
  </si>
  <si>
    <t>嘉聯益</t>
  </si>
  <si>
    <t>6168</t>
  </si>
  <si>
    <t>宏齊科技</t>
  </si>
  <si>
    <t>6170</t>
  </si>
  <si>
    <t>6176</t>
  </si>
  <si>
    <t>瑞儀光電</t>
  </si>
  <si>
    <t>6177</t>
  </si>
  <si>
    <t>達麗</t>
  </si>
  <si>
    <t>6179</t>
  </si>
  <si>
    <t>YN13AA</t>
  </si>
  <si>
    <t>6180</t>
  </si>
  <si>
    <t>6182</t>
  </si>
  <si>
    <t>6184</t>
  </si>
  <si>
    <t>大豐電</t>
  </si>
  <si>
    <t>6190</t>
  </si>
  <si>
    <t>6219</t>
  </si>
  <si>
    <t>6220</t>
  </si>
  <si>
    <t>6223</t>
  </si>
  <si>
    <t>6226</t>
  </si>
  <si>
    <t>光鼎電子</t>
  </si>
  <si>
    <t>6231</t>
  </si>
  <si>
    <t>6238</t>
  </si>
  <si>
    <t>6245</t>
  </si>
  <si>
    <t>6264</t>
  </si>
  <si>
    <t>6269</t>
  </si>
  <si>
    <t>台郡科技</t>
  </si>
  <si>
    <t>6271</t>
  </si>
  <si>
    <t>同欣電子</t>
  </si>
  <si>
    <t>6275</t>
  </si>
  <si>
    <t>6284</t>
  </si>
  <si>
    <t>6285</t>
  </si>
  <si>
    <t>啟?科技</t>
  </si>
  <si>
    <t>6287</t>
  </si>
  <si>
    <t>YF38AA</t>
  </si>
  <si>
    <t>YF38AB</t>
  </si>
  <si>
    <t>6290</t>
  </si>
  <si>
    <t>6414</t>
  </si>
  <si>
    <t>樺漢科技</t>
  </si>
  <si>
    <t>6509</t>
  </si>
  <si>
    <t>6603</t>
  </si>
  <si>
    <t>6702</t>
  </si>
  <si>
    <t>復興航空</t>
  </si>
  <si>
    <t>8027</t>
  </si>
  <si>
    <t>8038</t>
  </si>
  <si>
    <t>8042</t>
  </si>
  <si>
    <t>8050</t>
  </si>
  <si>
    <t>8056</t>
  </si>
  <si>
    <t>達鴻</t>
  </si>
  <si>
    <t>YN5201</t>
  </si>
  <si>
    <t>8074</t>
  </si>
  <si>
    <t>8084</t>
  </si>
  <si>
    <t>YD61AA</t>
  </si>
  <si>
    <t>8110</t>
  </si>
  <si>
    <t>華東</t>
  </si>
  <si>
    <t>8112</t>
  </si>
  <si>
    <t>至上電子</t>
  </si>
  <si>
    <t>8114</t>
  </si>
  <si>
    <t>振樺電子</t>
  </si>
  <si>
    <t>8147</t>
  </si>
  <si>
    <t>8171</t>
  </si>
  <si>
    <t>8240</t>
  </si>
  <si>
    <t>8277</t>
  </si>
  <si>
    <t>8349</t>
  </si>
  <si>
    <t>?耀國際</t>
  </si>
  <si>
    <t>8401</t>
  </si>
  <si>
    <t>8403</t>
  </si>
  <si>
    <t>8406</t>
  </si>
  <si>
    <t>8411</t>
  </si>
  <si>
    <t>F-福貞</t>
  </si>
  <si>
    <t>8421</t>
  </si>
  <si>
    <t>8429</t>
  </si>
  <si>
    <t>F-金麗</t>
  </si>
  <si>
    <t>8431</t>
  </si>
  <si>
    <t>8436</t>
  </si>
  <si>
    <t>大江生醫</t>
  </si>
  <si>
    <t>8450</t>
  </si>
  <si>
    <t>8927</t>
  </si>
  <si>
    <t>8933</t>
  </si>
  <si>
    <t>8936</t>
  </si>
  <si>
    <t>8942</t>
  </si>
  <si>
    <t>8996</t>
  </si>
  <si>
    <t>高力</t>
  </si>
  <si>
    <t>9802</t>
  </si>
  <si>
    <t>F-鈺齊</t>
  </si>
  <si>
    <t>9934</t>
  </si>
  <si>
    <t>成霖企業</t>
  </si>
  <si>
    <t>9939</t>
  </si>
  <si>
    <t>宏全</t>
  </si>
  <si>
    <t>9941</t>
  </si>
  <si>
    <t>裕融企業</t>
  </si>
  <si>
    <t>9944</t>
  </si>
  <si>
    <t>新麗企業</t>
  </si>
  <si>
    <t>9945</t>
  </si>
  <si>
    <t>潤泰創新</t>
  </si>
  <si>
    <t>CB價格</t>
  </si>
  <si>
    <t>現股市價</t>
  </si>
  <si>
    <t>轉換股數</t>
  </si>
  <si>
    <t>105/01/03</t>
  </si>
  <si>
    <t>104/07/19</t>
  </si>
  <si>
    <t>100/01/13</t>
  </si>
  <si>
    <t>105/01/13</t>
  </si>
  <si>
    <t>100/02/14</t>
  </si>
  <si>
    <t xml:space="preserve">潤新一 (99451)  基本資料  </t>
  </si>
  <si>
    <t>潤泰新</t>
  </si>
  <si>
    <t>CB代碼</t>
  </si>
  <si>
    <t>CB餘額</t>
  </si>
  <si>
    <t>CB合理價值</t>
  </si>
  <si>
    <t>CB價差</t>
  </si>
  <si>
    <t>5388中磊</t>
  </si>
  <si>
    <t xml:space="preserve">▽0.7 </t>
  </si>
  <si>
    <t xml:space="preserve">中磊(5388) </t>
  </si>
  <si>
    <t>中磊(5388) 年度營收走勢圖</t>
  </si>
  <si>
    <t>中磊(5388)月營收明細</t>
  </si>
  <si>
    <t>↘  5%</t>
  </si>
  <si>
    <t>53885_2017/8/31</t>
  </si>
  <si>
    <t>53884_2016/8/30</t>
  </si>
  <si>
    <t>最近交易日:12/28</t>
  </si>
  <si>
    <t xml:space="preserve">富邦R1          </t>
  </si>
  <si>
    <t xml:space="preserve">國泰R1          </t>
  </si>
  <si>
    <t>F-三汰</t>
  </si>
  <si>
    <t>週集保</t>
  </si>
  <si>
    <t>序</t>
  </si>
  <si>
    <t>1312_%</t>
  </si>
  <si>
    <t>1319_%</t>
  </si>
  <si>
    <t>1464_%</t>
  </si>
  <si>
    <t>1476_%</t>
  </si>
  <si>
    <t>1788_%</t>
  </si>
  <si>
    <t>2368_%</t>
  </si>
  <si>
    <t>2409_%</t>
  </si>
  <si>
    <t>2456_%</t>
  </si>
  <si>
    <t>2731_%</t>
  </si>
  <si>
    <t>3038_%</t>
  </si>
  <si>
    <t>4198_%</t>
  </si>
  <si>
    <t>4429_%</t>
  </si>
  <si>
    <t>4726_%</t>
  </si>
  <si>
    <t>4728_%</t>
  </si>
  <si>
    <t>5266_%</t>
  </si>
  <si>
    <t>6221_%</t>
  </si>
  <si>
    <t>8016_%</t>
  </si>
  <si>
    <t>8043_%</t>
  </si>
  <si>
    <t>8390_%</t>
  </si>
  <si>
    <t>9938_%</t>
  </si>
  <si>
    <t>轉換價/股數</t>
  </si>
  <si>
    <t>合計</t>
  </si>
  <si>
    <t>股本   24   億</t>
    <phoneticPr fontId="2" type="noConversion"/>
  </si>
  <si>
    <t>16 / 1.96</t>
  </si>
  <si>
    <t xml:space="preserve">中磊(5388)      市價：85.2  元             PE = </t>
    <phoneticPr fontId="2" type="noConversion"/>
  </si>
</sst>
</file>

<file path=xl/styles.xml><?xml version="1.0" encoding="utf-8"?>
<styleSheet xmlns="http://schemas.openxmlformats.org/spreadsheetml/2006/main">
  <numFmts count="15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  <numFmt numFmtId="186" formatCode="0.00_);[Red]\(0.00\)"/>
    <numFmt numFmtId="187" formatCode="#,##0.00_);[Red]\(#,##0.00\)"/>
    <numFmt numFmtId="188" formatCode="#,##0.00_ "/>
    <numFmt numFmtId="189" formatCode="yyyy/mm/dd"/>
  </numFmts>
  <fonts count="67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b/>
      <u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Times New Roman"/>
      <family val="1"/>
    </font>
    <font>
      <sz val="10"/>
      <name val="Arial"/>
      <family val="2"/>
    </font>
    <font>
      <sz val="12"/>
      <color rgb="FF009900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8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  <xf numFmtId="0" fontId="64" fillId="0" borderId="0" applyNumberFormat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</cellStyleXfs>
  <cellXfs count="45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39" fillId="14" borderId="6" xfId="0" applyFont="1" applyFill="1" applyBorder="1">
      <alignment vertical="center"/>
    </xf>
    <xf numFmtId="0" fontId="39" fillId="14" borderId="0" xfId="0" applyFont="1" applyFill="1" applyBorder="1">
      <alignment vertical="center"/>
    </xf>
    <xf numFmtId="0" fontId="39" fillId="14" borderId="7" xfId="0" applyFont="1" applyFill="1" applyBorder="1">
      <alignment vertical="center"/>
    </xf>
    <xf numFmtId="0" fontId="39" fillId="14" borderId="14" xfId="0" applyFont="1" applyFill="1" applyBorder="1">
      <alignment vertical="center"/>
    </xf>
    <xf numFmtId="0" fontId="39" fillId="14" borderId="15" xfId="0" applyFont="1" applyFill="1" applyBorder="1">
      <alignment vertical="center"/>
    </xf>
    <xf numFmtId="0" fontId="39" fillId="14" borderId="16" xfId="0" applyFont="1" applyFill="1" applyBorder="1">
      <alignment vertical="center"/>
    </xf>
    <xf numFmtId="0" fontId="39" fillId="14" borderId="1" xfId="0" applyFont="1" applyFill="1" applyBorder="1">
      <alignment vertical="center"/>
    </xf>
    <xf numFmtId="0" fontId="39" fillId="14" borderId="2" xfId="0" applyFont="1" applyFill="1" applyBorder="1">
      <alignment vertical="center"/>
    </xf>
    <xf numFmtId="0" fontId="39" fillId="14" borderId="3" xfId="0" applyFont="1" applyFill="1" applyBorder="1">
      <alignment vertical="center"/>
    </xf>
    <xf numFmtId="9" fontId="39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1" fillId="14" borderId="0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vertical="center"/>
    </xf>
    <xf numFmtId="176" fontId="40" fillId="14" borderId="0" xfId="1" applyFont="1" applyFill="1" applyBorder="1" applyAlignment="1">
      <alignment vertical="center"/>
    </xf>
    <xf numFmtId="183" fontId="40" fillId="14" borderId="7" xfId="1" applyNumberFormat="1" applyFont="1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2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3" fillId="14" borderId="0" xfId="0" applyFont="1" applyFill="1" applyBorder="1" applyAlignment="1">
      <alignment horizontal="center" vertical="center"/>
    </xf>
    <xf numFmtId="0" fontId="50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0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4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42" fillId="2" borderId="0" xfId="0" applyFont="1" applyFill="1" applyBorder="1">
      <alignment vertical="center"/>
    </xf>
    <xf numFmtId="0" fontId="42" fillId="2" borderId="0" xfId="0" applyFont="1" applyFill="1" applyBorder="1" applyAlignment="1">
      <alignment vertical="center"/>
    </xf>
    <xf numFmtId="177" fontId="42" fillId="2" borderId="0" xfId="1" applyNumberFormat="1" applyFont="1" applyFill="1" applyBorder="1" applyAlignment="1">
      <alignment horizontal="center" vertical="center"/>
    </xf>
    <xf numFmtId="9" fontId="42" fillId="2" borderId="0" xfId="2" applyFont="1" applyFill="1" applyBorder="1" applyAlignment="1">
      <alignment horizontal="center" vertical="center"/>
    </xf>
    <xf numFmtId="178" fontId="42" fillId="2" borderId="0" xfId="2" applyNumberFormat="1" applyFont="1" applyFill="1" applyBorder="1" applyAlignment="1">
      <alignment vertical="center"/>
    </xf>
    <xf numFmtId="179" fontId="42" fillId="2" borderId="0" xfId="2" applyNumberFormat="1" applyFont="1" applyFill="1" applyBorder="1" applyAlignment="1">
      <alignment vertical="center"/>
    </xf>
    <xf numFmtId="179" fontId="42" fillId="2" borderId="0" xfId="2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0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3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6" fillId="2" borderId="1" xfId="0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57" fillId="2" borderId="6" xfId="0" applyFont="1" applyFill="1" applyBorder="1">
      <alignment vertical="center"/>
    </xf>
    <xf numFmtId="0" fontId="57" fillId="2" borderId="0" xfId="0" applyFont="1" applyFill="1" applyBorder="1">
      <alignment vertical="center"/>
    </xf>
    <xf numFmtId="0" fontId="57" fillId="2" borderId="7" xfId="0" applyFont="1" applyFill="1" applyBorder="1">
      <alignment vertical="center"/>
    </xf>
    <xf numFmtId="0" fontId="57" fillId="2" borderId="14" xfId="0" applyFont="1" applyFill="1" applyBorder="1">
      <alignment vertical="center"/>
    </xf>
    <xf numFmtId="0" fontId="57" fillId="2" borderId="15" xfId="0" applyFont="1" applyFill="1" applyBorder="1">
      <alignment vertical="center"/>
    </xf>
    <xf numFmtId="0" fontId="57" fillId="2" borderId="16" xfId="0" applyFont="1" applyFill="1" applyBorder="1">
      <alignment vertical="center"/>
    </xf>
    <xf numFmtId="0" fontId="57" fillId="2" borderId="1" xfId="0" applyFont="1" applyFill="1" applyBorder="1">
      <alignment vertical="center"/>
    </xf>
    <xf numFmtId="0" fontId="57" fillId="2" borderId="2" xfId="0" applyFont="1" applyFill="1" applyBorder="1">
      <alignment vertical="center"/>
    </xf>
    <xf numFmtId="0" fontId="57" fillId="2" borderId="3" xfId="0" applyFont="1" applyFill="1" applyBorder="1">
      <alignment vertical="center"/>
    </xf>
    <xf numFmtId="0" fontId="57" fillId="2" borderId="6" xfId="0" applyFont="1" applyFill="1" applyBorder="1" applyAlignment="1">
      <alignment vertical="center"/>
    </xf>
    <xf numFmtId="0" fontId="57" fillId="2" borderId="0" xfId="0" applyFont="1" applyFill="1" applyBorder="1" applyAlignment="1">
      <alignment vertical="center"/>
    </xf>
    <xf numFmtId="0" fontId="57" fillId="2" borderId="7" xfId="0" applyFont="1" applyFill="1" applyBorder="1" applyAlignment="1">
      <alignment vertical="center"/>
    </xf>
    <xf numFmtId="9" fontId="57" fillId="2" borderId="6" xfId="2" applyFont="1" applyFill="1" applyBorder="1">
      <alignment vertical="center"/>
    </xf>
    <xf numFmtId="9" fontId="57" fillId="2" borderId="0" xfId="2" applyFont="1" applyFill="1" applyBorder="1">
      <alignment vertical="center"/>
    </xf>
    <xf numFmtId="9" fontId="57" fillId="2" borderId="7" xfId="2" applyFont="1" applyFill="1" applyBorder="1">
      <alignment vertical="center"/>
    </xf>
    <xf numFmtId="178" fontId="57" fillId="2" borderId="6" xfId="0" applyNumberFormat="1" applyFont="1" applyFill="1" applyBorder="1">
      <alignment vertical="center"/>
    </xf>
    <xf numFmtId="178" fontId="57" fillId="2" borderId="0" xfId="0" applyNumberFormat="1" applyFont="1" applyFill="1" applyBorder="1">
      <alignment vertical="center"/>
    </xf>
    <xf numFmtId="178" fontId="57" fillId="2" borderId="7" xfId="0" applyNumberFormat="1" applyFont="1" applyFill="1" applyBorder="1">
      <alignment vertical="center"/>
    </xf>
    <xf numFmtId="178" fontId="57" fillId="2" borderId="6" xfId="2" applyNumberFormat="1" applyFont="1" applyFill="1" applyBorder="1">
      <alignment vertical="center"/>
    </xf>
    <xf numFmtId="178" fontId="57" fillId="2" borderId="0" xfId="2" applyNumberFormat="1" applyFont="1" applyFill="1" applyBorder="1">
      <alignment vertical="center"/>
    </xf>
    <xf numFmtId="178" fontId="57" fillId="2" borderId="7" xfId="2" applyNumberFormat="1" applyFont="1" applyFill="1" applyBorder="1">
      <alignment vertical="center"/>
    </xf>
    <xf numFmtId="180" fontId="57" fillId="2" borderId="6" xfId="2" applyNumberFormat="1" applyFont="1" applyFill="1" applyBorder="1">
      <alignment vertical="center"/>
    </xf>
    <xf numFmtId="180" fontId="57" fillId="2" borderId="0" xfId="2" applyNumberFormat="1" applyFont="1" applyFill="1" applyBorder="1">
      <alignment vertical="center"/>
    </xf>
    <xf numFmtId="180" fontId="57" fillId="2" borderId="7" xfId="2" applyNumberFormat="1" applyFont="1" applyFill="1" applyBorder="1">
      <alignment vertical="center"/>
    </xf>
    <xf numFmtId="9" fontId="57" fillId="2" borderId="6" xfId="2" applyFont="1" applyFill="1" applyBorder="1" applyAlignment="1">
      <alignment vertical="center"/>
    </xf>
    <xf numFmtId="9" fontId="57" fillId="2" borderId="0" xfId="2" applyFont="1" applyFill="1" applyBorder="1" applyAlignment="1">
      <alignment vertical="center"/>
    </xf>
    <xf numFmtId="9" fontId="57" fillId="2" borderId="7" xfId="2" applyFont="1" applyFill="1" applyBorder="1" applyAlignment="1">
      <alignment vertical="center"/>
    </xf>
    <xf numFmtId="181" fontId="57" fillId="2" borderId="6" xfId="0" applyNumberFormat="1" applyFont="1" applyFill="1" applyBorder="1">
      <alignment vertical="center"/>
    </xf>
    <xf numFmtId="181" fontId="57" fillId="2" borderId="0" xfId="0" applyNumberFormat="1" applyFont="1" applyFill="1" applyBorder="1">
      <alignment vertical="center"/>
    </xf>
    <xf numFmtId="181" fontId="57" fillId="2" borderId="7" xfId="0" applyNumberFormat="1" applyFont="1" applyFill="1" applyBorder="1">
      <alignment vertical="center"/>
    </xf>
    <xf numFmtId="179" fontId="57" fillId="2" borderId="6" xfId="2" applyNumberFormat="1" applyFont="1" applyFill="1" applyBorder="1">
      <alignment vertical="center"/>
    </xf>
    <xf numFmtId="179" fontId="57" fillId="2" borderId="0" xfId="2" applyNumberFormat="1" applyFont="1" applyFill="1" applyBorder="1">
      <alignment vertical="center"/>
    </xf>
    <xf numFmtId="179" fontId="57" fillId="2" borderId="7" xfId="2" applyNumberFormat="1" applyFont="1" applyFill="1" applyBorder="1">
      <alignment vertical="center"/>
    </xf>
    <xf numFmtId="9" fontId="57" fillId="2" borderId="14" xfId="2" applyFont="1" applyFill="1" applyBorder="1">
      <alignment vertical="center"/>
    </xf>
    <xf numFmtId="9" fontId="57" fillId="2" borderId="15" xfId="2" applyFont="1" applyFill="1" applyBorder="1">
      <alignment vertical="center"/>
    </xf>
    <xf numFmtId="9" fontId="57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>
      <alignment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>
      <alignment vertical="center"/>
    </xf>
    <xf numFmtId="0" fontId="3" fillId="9" borderId="4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29" borderId="31" xfId="0" applyFill="1" applyBorder="1" applyAlignment="1">
      <alignment horizontal="center" vertical="center"/>
    </xf>
    <xf numFmtId="0" fontId="0" fillId="29" borderId="9" xfId="0" applyFill="1" applyBorder="1">
      <alignment vertical="center"/>
    </xf>
    <xf numFmtId="0" fontId="0" fillId="29" borderId="32" xfId="0" applyFill="1" applyBorder="1">
      <alignment vertical="center"/>
    </xf>
    <xf numFmtId="0" fontId="0" fillId="17" borderId="31" xfId="0" applyFill="1" applyBorder="1" applyAlignment="1">
      <alignment horizontal="center" vertical="center"/>
    </xf>
    <xf numFmtId="0" fontId="0" fillId="17" borderId="32" xfId="0" applyFill="1" applyBorder="1">
      <alignment vertical="center"/>
    </xf>
    <xf numFmtId="0" fontId="0" fillId="18" borderId="31" xfId="0" applyFill="1" applyBorder="1" applyAlignment="1">
      <alignment horizontal="center" vertical="center"/>
    </xf>
    <xf numFmtId="0" fontId="0" fillId="18" borderId="32" xfId="0" applyFill="1" applyBorder="1">
      <alignment vertical="center"/>
    </xf>
    <xf numFmtId="14" fontId="3" fillId="28" borderId="10" xfId="0" applyNumberFormat="1" applyFont="1" applyFill="1" applyBorder="1" applyAlignment="1">
      <alignment horizontal="center" vertical="center"/>
    </xf>
    <xf numFmtId="0" fontId="61" fillId="28" borderId="31" xfId="0" applyFont="1" applyFill="1" applyBorder="1" applyAlignment="1">
      <alignment horizontal="center" vertical="center"/>
    </xf>
    <xf numFmtId="0" fontId="61" fillId="28" borderId="9" xfId="0" applyFont="1" applyFill="1" applyBorder="1" applyAlignment="1">
      <alignment horizontal="center" vertical="center"/>
    </xf>
    <xf numFmtId="0" fontId="61" fillId="28" borderId="32" xfId="0" applyFont="1" applyFill="1" applyBorder="1" applyAlignment="1">
      <alignment horizontal="center" vertical="center"/>
    </xf>
    <xf numFmtId="3" fontId="18" fillId="0" borderId="0" xfId="4" applyNumberFormat="1"/>
    <xf numFmtId="186" fontId="61" fillId="28" borderId="8" xfId="0" applyNumberFormat="1" applyFont="1" applyFill="1" applyBorder="1" applyAlignment="1">
      <alignment horizontal="center" vertical="center"/>
    </xf>
    <xf numFmtId="0" fontId="0" fillId="18" borderId="45" xfId="0" applyFill="1" applyBorder="1">
      <alignment vertical="center"/>
    </xf>
    <xf numFmtId="176" fontId="62" fillId="0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center"/>
    </xf>
    <xf numFmtId="14" fontId="0" fillId="2" borderId="0" xfId="0" applyNumberFormat="1" applyFill="1" applyAlignment="1">
      <alignment vertical="center"/>
    </xf>
    <xf numFmtId="0" fontId="0" fillId="2" borderId="0" xfId="0" applyNumberFormat="1" applyFill="1" applyAlignment="1">
      <alignment horizontal="center" vertical="center"/>
    </xf>
    <xf numFmtId="0" fontId="0" fillId="26" borderId="9" xfId="0" applyFill="1" applyBorder="1">
      <alignment vertical="center"/>
    </xf>
    <xf numFmtId="0" fontId="0" fillId="26" borderId="46" xfId="0" applyFill="1" applyBorder="1" applyAlignment="1">
      <alignment horizontal="center" vertical="center"/>
    </xf>
    <xf numFmtId="0" fontId="0" fillId="26" borderId="48" xfId="0" applyFill="1" applyBorder="1">
      <alignment vertical="center"/>
    </xf>
    <xf numFmtId="0" fontId="0" fillId="26" borderId="31" xfId="0" applyFill="1" applyBorder="1" applyAlignment="1">
      <alignment horizontal="center" vertical="center"/>
    </xf>
    <xf numFmtId="0" fontId="0" fillId="26" borderId="32" xfId="0" applyFill="1" applyBorder="1">
      <alignment vertical="center"/>
    </xf>
    <xf numFmtId="0" fontId="0" fillId="9" borderId="31" xfId="0" applyFill="1" applyBorder="1" applyAlignment="1">
      <alignment horizontal="center" vertical="center"/>
    </xf>
    <xf numFmtId="0" fontId="0" fillId="9" borderId="32" xfId="0" applyFill="1" applyBorder="1">
      <alignment vertical="center"/>
    </xf>
    <xf numFmtId="187" fontId="0" fillId="29" borderId="9" xfId="0" applyNumberFormat="1" applyFill="1" applyBorder="1">
      <alignment vertical="center"/>
    </xf>
    <xf numFmtId="187" fontId="0" fillId="17" borderId="9" xfId="0" applyNumberFormat="1" applyFill="1" applyBorder="1">
      <alignment vertical="center"/>
    </xf>
    <xf numFmtId="187" fontId="0" fillId="17" borderId="9" xfId="2" applyNumberFormat="1" applyFont="1" applyFill="1" applyBorder="1">
      <alignment vertical="center"/>
    </xf>
    <xf numFmtId="187" fontId="0" fillId="18" borderId="9" xfId="0" applyNumberFormat="1" applyFill="1" applyBorder="1" applyAlignment="1">
      <alignment horizontal="right" vertical="center"/>
    </xf>
    <xf numFmtId="187" fontId="0" fillId="18" borderId="9" xfId="0" applyNumberFormat="1" applyFill="1" applyBorder="1">
      <alignment vertical="center"/>
    </xf>
    <xf numFmtId="187" fontId="0" fillId="9" borderId="9" xfId="0" applyNumberFormat="1" applyFill="1" applyBorder="1">
      <alignment vertical="center"/>
    </xf>
    <xf numFmtId="187" fontId="0" fillId="26" borderId="9" xfId="0" applyNumberFormat="1" applyFill="1" applyBorder="1">
      <alignment vertical="center"/>
    </xf>
    <xf numFmtId="187" fontId="0" fillId="26" borderId="47" xfId="0" applyNumberFormat="1" applyFill="1" applyBorder="1">
      <alignment vertical="center"/>
    </xf>
    <xf numFmtId="188" fontId="0" fillId="29" borderId="9" xfId="0" applyNumberFormat="1" applyFill="1" applyBorder="1" applyAlignment="1">
      <alignment horizontal="right" vertical="center"/>
    </xf>
    <xf numFmtId="4" fontId="0" fillId="0" borderId="0" xfId="0" applyNumberFormat="1" applyFont="1" applyFill="1">
      <alignment vertical="center"/>
    </xf>
    <xf numFmtId="0" fontId="0" fillId="0" borderId="0" xfId="0" applyNumberFormat="1" applyFont="1" applyFill="1" applyBorder="1" applyAlignment="1"/>
    <xf numFmtId="0" fontId="63" fillId="0" borderId="49" xfId="6" applyNumberFormat="1" applyFont="1" applyFill="1" applyBorder="1" applyAlignment="1">
      <alignment horizontal="center" vertical="center" wrapText="1"/>
    </xf>
    <xf numFmtId="189" fontId="63" fillId="0" borderId="49" xfId="6" applyNumberFormat="1" applyFont="1" applyFill="1" applyBorder="1" applyAlignment="1">
      <alignment horizontal="center" vertical="center"/>
    </xf>
    <xf numFmtId="38" fontId="63" fillId="0" borderId="49" xfId="6" applyNumberFormat="1" applyFont="1" applyFill="1" applyBorder="1" applyAlignment="1">
      <alignment horizontal="right" vertical="center"/>
    </xf>
    <xf numFmtId="0" fontId="3" fillId="27" borderId="10" xfId="0" applyFont="1" applyFill="1" applyBorder="1" applyAlignment="1">
      <alignment horizontal="center" vertical="center"/>
    </xf>
    <xf numFmtId="176" fontId="3" fillId="27" borderId="8" xfId="1" applyNumberFormat="1" applyFont="1" applyFill="1" applyBorder="1" applyAlignment="1">
      <alignment horizontal="center" vertical="center"/>
    </xf>
    <xf numFmtId="0" fontId="3" fillId="27" borderId="17" xfId="0" applyFont="1" applyFill="1" applyBorder="1" applyAlignment="1">
      <alignment horizontal="center" vertical="center"/>
    </xf>
    <xf numFmtId="0" fontId="3" fillId="27" borderId="31" xfId="0" applyFont="1" applyFill="1" applyBorder="1" applyAlignment="1">
      <alignment horizontal="center" vertical="center"/>
    </xf>
    <xf numFmtId="183" fontId="3" fillId="27" borderId="9" xfId="1" applyNumberFormat="1" applyFont="1" applyFill="1" applyBorder="1" applyAlignment="1">
      <alignment horizontal="center" vertical="center"/>
    </xf>
    <xf numFmtId="0" fontId="3" fillId="27" borderId="11" xfId="0" applyFont="1" applyFill="1" applyBorder="1" applyAlignment="1">
      <alignment horizontal="center" vertical="center"/>
    </xf>
    <xf numFmtId="183" fontId="3" fillId="27" borderId="12" xfId="1" applyNumberFormat="1" applyFont="1" applyFill="1" applyBorder="1" applyAlignment="1">
      <alignment horizontal="center" vertical="center"/>
    </xf>
    <xf numFmtId="9" fontId="0" fillId="0" borderId="0" xfId="2" applyFont="1" applyAlignment="1">
      <alignment horizontal="left" vertical="center"/>
    </xf>
    <xf numFmtId="0" fontId="0" fillId="0" borderId="0" xfId="0" applyAlignment="1">
      <alignment horizontal="left" vertical="center"/>
    </xf>
    <xf numFmtId="10" fontId="0" fillId="0" borderId="0" xfId="0" applyNumberFormat="1" applyFont="1" applyFill="1" applyBorder="1" applyAlignment="1"/>
    <xf numFmtId="9" fontId="0" fillId="0" borderId="0" xfId="0" applyNumberFormat="1" applyFont="1" applyFill="1" applyBorder="1" applyAlignment="1"/>
    <xf numFmtId="0" fontId="58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  <xf numFmtId="176" fontId="3" fillId="27" borderId="32" xfId="1" applyFont="1" applyFill="1" applyBorder="1" applyAlignment="1">
      <alignment vertical="center"/>
    </xf>
    <xf numFmtId="10" fontId="3" fillId="27" borderId="20" xfId="2" applyNumberFormat="1" applyFont="1" applyFill="1" applyBorder="1" applyAlignment="1">
      <alignment vertical="center"/>
    </xf>
    <xf numFmtId="0" fontId="3" fillId="28" borderId="32" xfId="0" applyFont="1" applyFill="1" applyBorder="1" applyAlignment="1">
      <alignment horizontal="center" vertical="center"/>
    </xf>
    <xf numFmtId="2" fontId="3" fillId="28" borderId="32" xfId="1" applyNumberFormat="1" applyFont="1" applyFill="1" applyBorder="1" applyAlignment="1">
      <alignment horizontal="center" vertical="center"/>
    </xf>
    <xf numFmtId="2" fontId="3" fillId="28" borderId="39" xfId="1" applyNumberFormat="1" applyFont="1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65" fillId="11" borderId="23" xfId="0" applyFont="1" applyFill="1" applyBorder="1" applyAlignment="1">
      <alignment horizontal="center" vertical="center"/>
    </xf>
    <xf numFmtId="0" fontId="65" fillId="11" borderId="25" xfId="0" applyFont="1" applyFill="1" applyBorder="1" applyAlignment="1">
      <alignment horizontal="center" vertical="center"/>
    </xf>
    <xf numFmtId="0" fontId="65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1" fillId="14" borderId="2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2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9" fontId="42" fillId="2" borderId="0" xfId="2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61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14" fontId="61" fillId="28" borderId="44" xfId="0" applyNumberFormat="1" applyFont="1" applyFill="1" applyBorder="1" applyAlignment="1">
      <alignment horizontal="center" vertical="center"/>
    </xf>
    <xf numFmtId="14" fontId="61" fillId="28" borderId="19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9" fillId="14" borderId="0" xfId="0" applyFont="1" applyFill="1" applyBorder="1" applyAlignment="1">
      <alignment horizontal="center" vertical="center"/>
    </xf>
    <xf numFmtId="0" fontId="39" fillId="14" borderId="7" xfId="0" applyFont="1" applyFill="1" applyBorder="1" applyAlignment="1">
      <alignment horizontal="center" vertical="center"/>
    </xf>
    <xf numFmtId="0" fontId="41" fillId="14" borderId="6" xfId="0" applyFont="1" applyFill="1" applyBorder="1" applyAlignment="1">
      <alignment horizontal="center" vertical="center"/>
    </xf>
    <xf numFmtId="0" fontId="5" fillId="31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</cellXfs>
  <cellStyles count="8">
    <cellStyle name="一般" xfId="0" builtinId="0"/>
    <cellStyle name="一般 2" xfId="4"/>
    <cellStyle name="一般 3" xfId="6"/>
    <cellStyle name="千分位" xfId="1" builtinId="3"/>
    <cellStyle name="百分比" xfId="2" builtinId="5"/>
    <cellStyle name="超連結" xfId="3" builtinId="8"/>
    <cellStyle name="超連結 2" xfId="5"/>
    <cellStyle name="超連結 3" xfId="7"/>
  </cellStyles>
  <dxfs count="0"/>
  <tableStyles count="0" defaultTableStyle="TableStyleMedium9" defaultPivotStyle="PivotStyleLight16"/>
  <colors>
    <mruColors>
      <color rgb="FFFFFF99"/>
      <color rgb="FFFFFF00"/>
      <color rgb="FF66FF33"/>
      <color rgb="FF0066FF"/>
      <color rgb="FF0000FF"/>
      <color rgb="FFFF5050"/>
      <color rgb="FFFF33CC"/>
      <color rgb="FFFF9900"/>
      <color rgb="FF660066"/>
      <color rgb="FFCC33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589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4802</c:v>
                </c:pt>
                <c:pt idx="1">
                  <c:v>4671</c:v>
                </c:pt>
                <c:pt idx="2">
                  <c:v>6021</c:v>
                </c:pt>
                <c:pt idx="3">
                  <c:v>6147</c:v>
                </c:pt>
                <c:pt idx="4">
                  <c:v>6354</c:v>
                </c:pt>
                <c:pt idx="5">
                  <c:v>6347</c:v>
                </c:pt>
                <c:pt idx="6">
                  <c:v>8562</c:v>
                </c:pt>
                <c:pt idx="7">
                  <c:v>10415</c:v>
                </c:pt>
              </c:numCache>
            </c:numRef>
          </c:val>
        </c:ser>
        <c:dLbls/>
        <c:gapWidth val="125"/>
        <c:axId val="105334656"/>
        <c:axId val="105336192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0.17930029154518951</c:v>
                </c:pt>
                <c:pt idx="1">
                  <c:v>0.16934275315778205</c:v>
                </c:pt>
                <c:pt idx="2">
                  <c:v>0.16425842883241987</c:v>
                </c:pt>
                <c:pt idx="3">
                  <c:v>0.15047990889864976</c:v>
                </c:pt>
                <c:pt idx="4">
                  <c:v>0.14966949952785646</c:v>
                </c:pt>
                <c:pt idx="5">
                  <c:v>0.13612730423822278</c:v>
                </c:pt>
                <c:pt idx="6">
                  <c:v>0.13232889511796309</c:v>
                </c:pt>
                <c:pt idx="7">
                  <c:v>0.14911185789726356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4.6230737192836317E-2</c:v>
                </c:pt>
                <c:pt idx="1">
                  <c:v>3.9391993149218582E-2</c:v>
                </c:pt>
                <c:pt idx="2">
                  <c:v>4.5175220063112441E-2</c:v>
                </c:pt>
                <c:pt idx="3">
                  <c:v>3.8880754839759231E-2</c:v>
                </c:pt>
                <c:pt idx="4">
                  <c:v>4.0132200188857416E-2</c:v>
                </c:pt>
                <c:pt idx="5">
                  <c:v>2.6469198046321096E-2</c:v>
                </c:pt>
                <c:pt idx="6">
                  <c:v>3.8425601494977805E-2</c:v>
                </c:pt>
                <c:pt idx="7">
                  <c:v>4.2438790206433027E-2</c:v>
                </c:pt>
              </c:numCache>
            </c:numRef>
          </c:val>
          <c:smooth val="1"/>
        </c:ser>
        <c:dLbls/>
        <c:marker val="1"/>
        <c:axId val="105360000"/>
        <c:axId val="105358464"/>
      </c:lineChart>
      <c:catAx>
        <c:axId val="1053346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05336192"/>
        <c:crosses val="autoZero"/>
        <c:auto val="1"/>
        <c:lblAlgn val="ctr"/>
        <c:lblOffset val="100"/>
      </c:catAx>
      <c:valAx>
        <c:axId val="1053361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05334656"/>
        <c:crosses val="autoZero"/>
        <c:crossBetween val="between"/>
      </c:valAx>
      <c:valAx>
        <c:axId val="10535846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05360000"/>
        <c:crosses val="max"/>
        <c:crossBetween val="between"/>
      </c:valAx>
      <c:catAx>
        <c:axId val="105360000"/>
        <c:scaling>
          <c:orientation val="minMax"/>
        </c:scaling>
        <c:delete val="1"/>
        <c:axPos val="b"/>
        <c:tickLblPos val="none"/>
        <c:crossAx val="1053584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05"/>
          <c:y val="6.1852578105156215E-2"/>
          <c:w val="0.73786606461091042"/>
          <c:h val="0.88229882850009611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56.252274673517448</c:v>
                </c:pt>
                <c:pt idx="1">
                  <c:v>56.252274673517448</c:v>
                </c:pt>
                <c:pt idx="2">
                  <c:v>50.118543431323701</c:v>
                </c:pt>
                <c:pt idx="3">
                  <c:v>54.309114202049784</c:v>
                </c:pt>
                <c:pt idx="4">
                  <c:v>59.224897702234813</c:v>
                </c:pt>
                <c:pt idx="5">
                  <c:v>68.30451394359541</c:v>
                </c:pt>
                <c:pt idx="6">
                  <c:v>63.119379233823871</c:v>
                </c:pt>
                <c:pt idx="7">
                  <c:v>59.906084973595775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67.567332474226802</c:v>
                </c:pt>
                <c:pt idx="1">
                  <c:v>67.567332474226802</c:v>
                </c:pt>
                <c:pt idx="2">
                  <c:v>58.028616852146264</c:v>
                </c:pt>
                <c:pt idx="3">
                  <c:v>57.489946380697056</c:v>
                </c:pt>
                <c:pt idx="4">
                  <c:v>58.443573014991671</c:v>
                </c:pt>
                <c:pt idx="5">
                  <c:v>64.921803757067295</c:v>
                </c:pt>
                <c:pt idx="6">
                  <c:v>57.306080899178895</c:v>
                </c:pt>
                <c:pt idx="7">
                  <c:v>55.257630895960276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111.25209407216495</c:v>
                </c:pt>
                <c:pt idx="1">
                  <c:v>111.25209407216495</c:v>
                </c:pt>
                <c:pt idx="2">
                  <c:v>92.10229531001589</c:v>
                </c:pt>
                <c:pt idx="3">
                  <c:v>98.466823056300271</c:v>
                </c:pt>
                <c:pt idx="4">
                  <c:v>105.75744956505646</c:v>
                </c:pt>
                <c:pt idx="5">
                  <c:v>113.11804668976838</c:v>
                </c:pt>
                <c:pt idx="6">
                  <c:v>96.611505586216182</c:v>
                </c:pt>
                <c:pt idx="7">
                  <c:v>96.300567027758973</c:v>
                </c:pt>
              </c:numCache>
            </c:numRef>
          </c:val>
          <c:smooth val="1"/>
        </c:ser>
        <c:dLbls/>
        <c:marker val="1"/>
        <c:axId val="117734016"/>
        <c:axId val="117744000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99E-2"/>
                  <c:y val="-0.1162968910703459"/>
                </c:manualLayout>
              </c:layout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17747072"/>
        <c:axId val="117745536"/>
      </c:lineChart>
      <c:catAx>
        <c:axId val="11773401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7744000"/>
        <c:crosses val="autoZero"/>
        <c:auto val="1"/>
        <c:lblAlgn val="ctr"/>
        <c:lblOffset val="100"/>
      </c:catAx>
      <c:valAx>
        <c:axId val="117744000"/>
        <c:scaling>
          <c:orientation val="minMax"/>
          <c:max val="136.74165602772203"/>
          <c:min val="39.094834745058961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7734016"/>
        <c:crosses val="autoZero"/>
        <c:crossBetween val="between"/>
      </c:valAx>
      <c:valAx>
        <c:axId val="11774553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7747072"/>
        <c:crosses val="max"/>
        <c:crossBetween val="between"/>
      </c:valAx>
      <c:catAx>
        <c:axId val="117747072"/>
        <c:scaling>
          <c:orientation val="minMax"/>
        </c:scaling>
        <c:delete val="1"/>
        <c:axPos val="b"/>
        <c:tickLblPos val="none"/>
        <c:crossAx val="11774553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51E-2"/>
          <c:w val="0.73874256145235262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172</c:v>
                </c:pt>
                <c:pt idx="1">
                  <c:v>-393</c:v>
                </c:pt>
                <c:pt idx="2">
                  <c:v>543</c:v>
                </c:pt>
                <c:pt idx="3">
                  <c:v>526</c:v>
                </c:pt>
                <c:pt idx="4">
                  <c:v>104</c:v>
                </c:pt>
                <c:pt idx="5">
                  <c:v>-442</c:v>
                </c:pt>
                <c:pt idx="6">
                  <c:v>74</c:v>
                </c:pt>
                <c:pt idx="7">
                  <c:v>1568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105</c:v>
                </c:pt>
                <c:pt idx="1">
                  <c:v>-483</c:v>
                </c:pt>
                <c:pt idx="2">
                  <c:v>427</c:v>
                </c:pt>
                <c:pt idx="3">
                  <c:v>389</c:v>
                </c:pt>
                <c:pt idx="4">
                  <c:v>-31</c:v>
                </c:pt>
                <c:pt idx="5">
                  <c:v>-509</c:v>
                </c:pt>
                <c:pt idx="6">
                  <c:v>-155</c:v>
                </c:pt>
                <c:pt idx="7">
                  <c:v>1478</c:v>
                </c:pt>
              </c:numCache>
            </c:numRef>
          </c:val>
        </c:ser>
        <c:dLbls/>
        <c:gapWidth val="100"/>
        <c:axId val="117935488"/>
        <c:axId val="117945472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0.64697976554916747</c:v>
                </c:pt>
                <c:pt idx="1">
                  <c:v>0.62009037191518945</c:v>
                </c:pt>
                <c:pt idx="2">
                  <c:v>0.68063088336138644</c:v>
                </c:pt>
                <c:pt idx="3">
                  <c:v>0.65763351805614767</c:v>
                </c:pt>
                <c:pt idx="4">
                  <c:v>0.66316433177674006</c:v>
                </c:pt>
                <c:pt idx="5">
                  <c:v>0.6661674327325311</c:v>
                </c:pt>
                <c:pt idx="6">
                  <c:v>0.73701182371909713</c:v>
                </c:pt>
                <c:pt idx="7">
                  <c:v>0.71701938917754404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17948800"/>
        <c:axId val="117947008"/>
      </c:lineChart>
      <c:catAx>
        <c:axId val="11793548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7945472"/>
        <c:crosses val="autoZero"/>
        <c:auto val="1"/>
        <c:lblAlgn val="ctr"/>
        <c:lblOffset val="100"/>
      </c:catAx>
      <c:valAx>
        <c:axId val="11794547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7935488"/>
        <c:crosses val="autoZero"/>
        <c:crossBetween val="between"/>
      </c:valAx>
      <c:valAx>
        <c:axId val="117947008"/>
        <c:scaling>
          <c:orientation val="minMax"/>
          <c:min val="-3.0000000000000009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7948800"/>
        <c:crosses val="max"/>
        <c:crossBetween val="between"/>
      </c:valAx>
      <c:catAx>
        <c:axId val="117948800"/>
        <c:scaling>
          <c:orientation val="minMax"/>
        </c:scaling>
        <c:delete val="1"/>
        <c:axPos val="b"/>
        <c:tickLblPos val="none"/>
        <c:crossAx val="11794700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23"/>
          <c:y val="6.3932132322468985E-2"/>
          <c:w val="0.74659195050210259"/>
          <c:h val="0.873284415299480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/>
        <c:axId val="117641600"/>
        <c:axId val="11801254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1.9963235294117647</c:v>
                </c:pt>
                <c:pt idx="3">
                  <c:v>2.2008368200836821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3.5475113122171944</c:v>
                </c:pt>
              </c:numCache>
            </c:numRef>
          </c:val>
        </c:ser>
        <c:dLbls/>
        <c:gapWidth val="125"/>
        <c:axId val="117996928"/>
        <c:axId val="118011008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4918074426312787E-2"/>
                  <c:y val="-8.9714103132430265E-2"/>
                </c:manualLayout>
              </c:layout>
              <c:dLblPos val="r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9.2579433560044666E-2</c:v>
                </c:pt>
                <c:pt idx="2">
                  <c:v>9.2579433560044666E-2</c:v>
                </c:pt>
                <c:pt idx="3">
                  <c:v>8.9524361575371136E-2</c:v>
                </c:pt>
                <c:pt idx="4">
                  <c:v>8.8068971910633176E-2</c:v>
                </c:pt>
                <c:pt idx="5">
                  <c:v>7.8296588146533661E-2</c:v>
                </c:pt>
                <c:pt idx="6">
                  <c:v>9.0131878126421094E-2</c:v>
                </c:pt>
                <c:pt idx="7">
                  <c:v>9.6899853919818216E-2</c:v>
                </c:pt>
              </c:numCache>
            </c:numRef>
          </c:val>
          <c:smooth val="1"/>
        </c:ser>
        <c:dLbls/>
        <c:marker val="1"/>
        <c:axId val="117641600"/>
        <c:axId val="118012544"/>
      </c:lineChart>
      <c:catAx>
        <c:axId val="11799692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8011008"/>
        <c:crosses val="autoZero"/>
        <c:auto val="1"/>
        <c:lblAlgn val="ctr"/>
        <c:lblOffset val="100"/>
      </c:catAx>
      <c:valAx>
        <c:axId val="118011008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7996928"/>
        <c:crosses val="autoZero"/>
        <c:crossBetween val="between"/>
      </c:valAx>
      <c:valAx>
        <c:axId val="11801254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7641600"/>
        <c:crosses val="max"/>
        <c:crossBetween val="between"/>
      </c:valAx>
      <c:catAx>
        <c:axId val="117641600"/>
        <c:scaling>
          <c:orientation val="minMax"/>
        </c:scaling>
        <c:delete val="1"/>
        <c:axPos val="b"/>
        <c:tickLblPos val="none"/>
        <c:crossAx val="11801254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07"/>
          <c:y val="3.1301940054012677E-2"/>
          <c:w val="0.7582483948884027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67</c:v>
                </c:pt>
                <c:pt idx="1">
                  <c:v>90</c:v>
                </c:pt>
                <c:pt idx="2">
                  <c:v>116</c:v>
                </c:pt>
                <c:pt idx="3">
                  <c:v>137</c:v>
                </c:pt>
                <c:pt idx="4">
                  <c:v>135</c:v>
                </c:pt>
                <c:pt idx="5">
                  <c:v>67</c:v>
                </c:pt>
                <c:pt idx="6">
                  <c:v>229</c:v>
                </c:pt>
                <c:pt idx="7">
                  <c:v>90</c:v>
                </c:pt>
              </c:numCache>
            </c:numRef>
          </c:val>
        </c:ser>
        <c:dLbls/>
        <c:axId val="117688192"/>
        <c:axId val="117689728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/>
        <c:gapWidth val="125"/>
        <c:axId val="117688192"/>
        <c:axId val="117689728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2.4359299670134484E-2</c:v>
                </c:pt>
                <c:pt idx="1">
                  <c:v>2.5000000000000001E-2</c:v>
                </c:pt>
                <c:pt idx="2">
                  <c:v>1.987281399046105E-2</c:v>
                </c:pt>
                <c:pt idx="3">
                  <c:v>1.9724243584833396E-2</c:v>
                </c:pt>
                <c:pt idx="4">
                  <c:v>1.9618730334999075E-2</c:v>
                </c:pt>
                <c:pt idx="5">
                  <c:v>2.1338683202626298E-2</c:v>
                </c:pt>
                <c:pt idx="6">
                  <c:v>1.574909139857316E-2</c:v>
                </c:pt>
                <c:pt idx="7">
                  <c:v>1.4443692168810652E-2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2.5188262788886005E-2</c:v>
                </c:pt>
                <c:pt idx="1">
                  <c:v>2.5188262788886005E-2</c:v>
                </c:pt>
                <c:pt idx="2">
                  <c:v>1.6934801016088061E-2</c:v>
                </c:pt>
                <c:pt idx="3">
                  <c:v>1.7138103161397671E-2</c:v>
                </c:pt>
                <c:pt idx="4">
                  <c:v>1.7044540922977972E-2</c:v>
                </c:pt>
                <c:pt idx="5">
                  <c:v>2.1926536731634184E-2</c:v>
                </c:pt>
                <c:pt idx="6">
                  <c:v>1.4040561622464899E-2</c:v>
                </c:pt>
                <c:pt idx="7">
                  <c:v>1.2397094430992735E-2</c:v>
                </c:pt>
              </c:numCache>
            </c:numRef>
          </c:val>
          <c:smooth val="1"/>
        </c:ser>
        <c:dLbls/>
        <c:marker val="1"/>
        <c:axId val="117697152"/>
        <c:axId val="117695616"/>
      </c:lineChart>
      <c:catAx>
        <c:axId val="11768819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7689728"/>
        <c:crosses val="autoZero"/>
        <c:auto val="1"/>
        <c:lblAlgn val="ctr"/>
        <c:lblOffset val="100"/>
      </c:catAx>
      <c:valAx>
        <c:axId val="11768972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7688192"/>
        <c:crosses val="autoZero"/>
        <c:crossBetween val="between"/>
      </c:valAx>
      <c:valAx>
        <c:axId val="11769561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17697152"/>
        <c:crosses val="max"/>
        <c:crossBetween val="between"/>
      </c:valAx>
      <c:catAx>
        <c:axId val="117697152"/>
        <c:scaling>
          <c:orientation val="minMax"/>
        </c:scaling>
        <c:delete val="1"/>
        <c:axPos val="b"/>
        <c:tickLblPos val="none"/>
        <c:crossAx val="11769561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085"/>
          <c:y val="5.787457966551126E-2"/>
          <c:w val="0.74877230585669574"/>
          <c:h val="0.88918578552103167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1.1000000000000001</c:v>
                </c:pt>
                <c:pt idx="1">
                  <c:v>0.84</c:v>
                </c:pt>
                <c:pt idx="2">
                  <c:v>1.22</c:v>
                </c:pt>
                <c:pt idx="3">
                  <c:v>1.07</c:v>
                </c:pt>
                <c:pt idx="4">
                  <c:v>1.1299999999999999</c:v>
                </c:pt>
                <c:pt idx="5">
                  <c:v>0.73</c:v>
                </c:pt>
                <c:pt idx="6">
                  <c:v>1.43</c:v>
                </c:pt>
                <c:pt idx="7">
                  <c:v>1.89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dLbls/>
        <c:gapWidth val="170"/>
        <c:overlap val="100"/>
        <c:axId val="118073216"/>
        <c:axId val="11807475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1.0111940298507462</c:v>
                </c:pt>
                <c:pt idx="1">
                  <c:v>1.0542986425339367</c:v>
                </c:pt>
                <c:pt idx="2">
                  <c:v>0.99390243902439024</c:v>
                </c:pt>
                <c:pt idx="3">
                  <c:v>1.0865051903114187</c:v>
                </c:pt>
                <c:pt idx="4">
                  <c:v>0.87464387464387461</c:v>
                </c:pt>
                <c:pt idx="5">
                  <c:v>0.92574257425742579</c:v>
                </c:pt>
                <c:pt idx="6">
                  <c:v>0.9133663366336634</c:v>
                </c:pt>
                <c:pt idx="7">
                  <c:v>1.1638733705772812</c:v>
                </c:pt>
              </c:numCache>
            </c:numRef>
          </c:val>
          <c:smooth val="1"/>
        </c:ser>
        <c:dLbls/>
        <c:marker val="1"/>
        <c:axId val="118229632"/>
        <c:axId val="118228096"/>
      </c:lineChart>
      <c:catAx>
        <c:axId val="11807321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8074752"/>
        <c:crosses val="autoZero"/>
        <c:auto val="1"/>
        <c:lblAlgn val="ctr"/>
        <c:lblOffset val="100"/>
      </c:catAx>
      <c:valAx>
        <c:axId val="1180747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8073216"/>
        <c:crosses val="autoZero"/>
        <c:crossBetween val="between"/>
      </c:valAx>
      <c:valAx>
        <c:axId val="118228096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8229632"/>
        <c:crosses val="max"/>
        <c:crossBetween val="between"/>
      </c:valAx>
      <c:catAx>
        <c:axId val="118229632"/>
        <c:scaling>
          <c:orientation val="minMax"/>
        </c:scaling>
        <c:delete val="1"/>
        <c:axPos val="b"/>
        <c:tickLblPos val="none"/>
        <c:crossAx val="11822809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04"/>
          <c:w val="0.88395908009621549"/>
          <c:h val="0.75954052669684546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4802</c:v>
                </c:pt>
                <c:pt idx="1">
                  <c:v>4671</c:v>
                </c:pt>
                <c:pt idx="2">
                  <c:v>6021</c:v>
                </c:pt>
                <c:pt idx="3">
                  <c:v>6147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6354</c:v>
                </c:pt>
                <c:pt idx="1">
                  <c:v>6347</c:v>
                </c:pt>
                <c:pt idx="2">
                  <c:v>8562</c:v>
                </c:pt>
                <c:pt idx="3">
                  <c:v>10415</c:v>
                </c:pt>
              </c:numCache>
            </c:numRef>
          </c:val>
        </c:ser>
        <c:dLbls/>
        <c:gapWidth val="65"/>
        <c:axId val="118274688"/>
        <c:axId val="118284672"/>
      </c:barChart>
      <c:catAx>
        <c:axId val="118274688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8284672"/>
        <c:crosses val="autoZero"/>
        <c:auto val="1"/>
        <c:lblAlgn val="ctr"/>
        <c:lblOffset val="100"/>
      </c:catAx>
      <c:valAx>
        <c:axId val="118284672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1827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07"/>
          <c:w val="0.90049010022061926"/>
          <c:h val="0.70987395863660618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123.81960714774425</c:v>
                </c:pt>
                <c:pt idx="1">
                  <c:v>123.81960714774425</c:v>
                </c:pt>
                <c:pt idx="2">
                  <c:v>108.14716028346996</c:v>
                </c:pt>
                <c:pt idx="3">
                  <c:v>111.79906058274685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117.66847071722648</c:v>
                </c:pt>
                <c:pt idx="1">
                  <c:v>133.22631770066272</c:v>
                </c:pt>
                <c:pt idx="2">
                  <c:v>120.42546013300276</c:v>
                </c:pt>
                <c:pt idx="3">
                  <c:v>115.16371586955606</c:v>
                </c:pt>
              </c:numCache>
            </c:numRef>
          </c:val>
          <c:smooth val="1"/>
        </c:ser>
        <c:dLbls>
          <c:showVal val="1"/>
        </c:dLbls>
        <c:marker val="1"/>
        <c:axId val="100296576"/>
        <c:axId val="100298112"/>
      </c:lineChart>
      <c:catAx>
        <c:axId val="100296576"/>
        <c:scaling>
          <c:orientation val="minMax"/>
        </c:scaling>
        <c:delete val="1"/>
        <c:axPos val="b"/>
        <c:majorTickMark val="none"/>
        <c:tickLblPos val="none"/>
        <c:crossAx val="100298112"/>
        <c:crosses val="autoZero"/>
        <c:auto val="1"/>
        <c:lblAlgn val="ctr"/>
        <c:lblOffset val="100"/>
      </c:catAx>
      <c:valAx>
        <c:axId val="100298112"/>
        <c:scaling>
          <c:orientation val="minMax"/>
          <c:max val="160.87158124079525"/>
          <c:min val="85.517728226775972"/>
        </c:scaling>
        <c:delete val="1"/>
        <c:axPos val="l"/>
        <c:numFmt formatCode="#,##0;[Red]\-#,##0" sourceLinked="1"/>
        <c:majorTickMark val="none"/>
        <c:tickLblPos val="none"/>
        <c:crossAx val="10029657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0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5388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0.84</c:v>
                </c:pt>
                <c:pt idx="1">
                  <c:v>-1.81</c:v>
                </c:pt>
                <c:pt idx="2">
                  <c:v>2.4</c:v>
                </c:pt>
                <c:pt idx="3">
                  <c:v>2.33</c:v>
                </c:pt>
                <c:pt idx="4">
                  <c:v>0.45</c:v>
                </c:pt>
                <c:pt idx="5">
                  <c:v>-1.92</c:v>
                </c:pt>
                <c:pt idx="6">
                  <c:v>0.32</c:v>
                </c:pt>
                <c:pt idx="7">
                  <c:v>6.51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6285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3.41</c:v>
                </c:pt>
                <c:pt idx="1">
                  <c:v>0.09</c:v>
                </c:pt>
                <c:pt idx="2">
                  <c:v>1.17</c:v>
                </c:pt>
                <c:pt idx="3">
                  <c:v>0.62</c:v>
                </c:pt>
                <c:pt idx="4">
                  <c:v>2.48</c:v>
                </c:pt>
                <c:pt idx="5">
                  <c:v>-0.65</c:v>
                </c:pt>
                <c:pt idx="6">
                  <c:v>0.94</c:v>
                </c:pt>
                <c:pt idx="7">
                  <c:v>3.6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6285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/>
        <c:gapWidth val="138"/>
        <c:overlap val="38"/>
        <c:axId val="120951168"/>
        <c:axId val="120952704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5388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0.64697976554916747</c:v>
                </c:pt>
                <c:pt idx="1">
                  <c:v>0.62009037191518945</c:v>
                </c:pt>
                <c:pt idx="2">
                  <c:v>0.68063088336138644</c:v>
                </c:pt>
                <c:pt idx="3">
                  <c:v>0.65763351805614767</c:v>
                </c:pt>
                <c:pt idx="4">
                  <c:v>0.66316433177674006</c:v>
                </c:pt>
                <c:pt idx="5">
                  <c:v>0.6661674327325311</c:v>
                </c:pt>
                <c:pt idx="6">
                  <c:v>0.73701182371909713</c:v>
                </c:pt>
                <c:pt idx="7">
                  <c:v>0.71701938917754404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6285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0.52752581948810062</c:v>
                </c:pt>
                <c:pt idx="1">
                  <c:v>0.51238698010849915</c:v>
                </c:pt>
                <c:pt idx="2">
                  <c:v>0.53238894237381373</c:v>
                </c:pt>
                <c:pt idx="3">
                  <c:v>0.52809237303132184</c:v>
                </c:pt>
                <c:pt idx="4">
                  <c:v>0.52851567417852197</c:v>
                </c:pt>
                <c:pt idx="5">
                  <c:v>0.52553736134248918</c:v>
                </c:pt>
                <c:pt idx="6">
                  <c:v>0.54716751762703619</c:v>
                </c:pt>
                <c:pt idx="7">
                  <c:v>0.56805820696610598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6285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/>
        <c:marker val="1"/>
        <c:axId val="120960128"/>
        <c:axId val="120954240"/>
      </c:lineChart>
      <c:dateAx>
        <c:axId val="12095116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0952704"/>
        <c:crosses val="autoZero"/>
        <c:lblOffset val="100"/>
        <c:baseTimeUnit val="days"/>
      </c:dateAx>
      <c:valAx>
        <c:axId val="12095270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0951168"/>
        <c:crosses val="autoZero"/>
        <c:crossBetween val="between"/>
      </c:valAx>
      <c:valAx>
        <c:axId val="120954240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0960128"/>
        <c:crosses val="max"/>
        <c:crossBetween val="between"/>
      </c:valAx>
      <c:dateAx>
        <c:axId val="120960128"/>
        <c:scaling>
          <c:orientation val="minMax"/>
        </c:scaling>
        <c:delete val="1"/>
        <c:axPos val="b"/>
        <c:numFmt formatCode="General" sourceLinked="1"/>
        <c:tickLblPos val="none"/>
        <c:crossAx val="120954240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094E-2"/>
          <c:y val="7.6339457567804025E-2"/>
          <c:w val="0.91226332455746528"/>
          <c:h val="0.76162697844589333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5388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56.252274673517448</c:v>
                </c:pt>
                <c:pt idx="1">
                  <c:v>56.252274673517448</c:v>
                </c:pt>
                <c:pt idx="2">
                  <c:v>50.118543431323701</c:v>
                </c:pt>
                <c:pt idx="3">
                  <c:v>54.309114202049784</c:v>
                </c:pt>
                <c:pt idx="4">
                  <c:v>59.224897702234813</c:v>
                </c:pt>
                <c:pt idx="5">
                  <c:v>68.30451394359541</c:v>
                </c:pt>
                <c:pt idx="6">
                  <c:v>63.119379233823871</c:v>
                </c:pt>
                <c:pt idx="7">
                  <c:v>59.906084973595775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6285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61.116511500547645</c:v>
                </c:pt>
                <c:pt idx="1">
                  <c:v>61.116511500547645</c:v>
                </c:pt>
                <c:pt idx="2">
                  <c:v>57.333424972508247</c:v>
                </c:pt>
                <c:pt idx="3">
                  <c:v>62.19525269759292</c:v>
                </c:pt>
                <c:pt idx="4">
                  <c:v>61.563776189630687</c:v>
                </c:pt>
                <c:pt idx="5">
                  <c:v>59.567733669214732</c:v>
                </c:pt>
                <c:pt idx="6">
                  <c:v>58.118595090562437</c:v>
                </c:pt>
                <c:pt idx="7">
                  <c:v>59.835629419053866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6285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/>
        <c:marker val="1"/>
        <c:axId val="124066432"/>
        <c:axId val="124096896"/>
      </c:lineChart>
      <c:catAx>
        <c:axId val="12406643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096896"/>
        <c:crosses val="autoZero"/>
        <c:auto val="1"/>
        <c:lblAlgn val="ctr"/>
        <c:lblOffset val="100"/>
      </c:catAx>
      <c:valAx>
        <c:axId val="124096896"/>
        <c:scaling>
          <c:orientation val="minMax"/>
          <c:max val="71.719739640775217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0664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77E-2"/>
          <c:y val="7.6339457567804025E-2"/>
          <c:w val="0.91226344792658953"/>
          <c:h val="0.76162697844589378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5388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67.567332474226802</c:v>
                </c:pt>
                <c:pt idx="1">
                  <c:v>67.567332474226802</c:v>
                </c:pt>
                <c:pt idx="2">
                  <c:v>58.028616852146264</c:v>
                </c:pt>
                <c:pt idx="3">
                  <c:v>57.489946380697056</c:v>
                </c:pt>
                <c:pt idx="4">
                  <c:v>58.443573014991671</c:v>
                </c:pt>
                <c:pt idx="5">
                  <c:v>64.921803757067295</c:v>
                </c:pt>
                <c:pt idx="6">
                  <c:v>57.306080899178895</c:v>
                </c:pt>
                <c:pt idx="7">
                  <c:v>55.257630895960276</c:v>
                </c:pt>
              </c:numCache>
            </c:numRef>
          </c:val>
          <c:smooth val="1"/>
        </c:ser>
        <c:dLbls/>
        <c:marker val="1"/>
        <c:axId val="124111872"/>
        <c:axId val="124117760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6285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37.692428252995263</c:v>
                </c:pt>
                <c:pt idx="1">
                  <c:v>37.692428252995263</c:v>
                </c:pt>
                <c:pt idx="2">
                  <c:v>30.025938735177867</c:v>
                </c:pt>
                <c:pt idx="3">
                  <c:v>32.366991606459841</c:v>
                </c:pt>
                <c:pt idx="4">
                  <c:v>38.862261966031909</c:v>
                </c:pt>
                <c:pt idx="5">
                  <c:v>45.708013241686047</c:v>
                </c:pt>
                <c:pt idx="6">
                  <c:v>41.69701986754967</c:v>
                </c:pt>
                <c:pt idx="7">
                  <c:v>42.350699123989216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6285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/>
        <c:marker val="1"/>
        <c:axId val="124141568"/>
        <c:axId val="124119296"/>
      </c:lineChart>
      <c:catAx>
        <c:axId val="12411187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117760"/>
        <c:crosses val="autoZero"/>
        <c:auto val="1"/>
        <c:lblAlgn val="ctr"/>
        <c:lblOffset val="100"/>
      </c:catAx>
      <c:valAx>
        <c:axId val="124117760"/>
        <c:scaling>
          <c:orientation val="minMax"/>
          <c:max val="70.94569909793816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111872"/>
        <c:crosses val="autoZero"/>
        <c:crossBetween val="between"/>
      </c:valAx>
      <c:valAx>
        <c:axId val="124119296"/>
        <c:scaling>
          <c:orientation val="minMax"/>
          <c:max val="207.28196625636673"/>
          <c:min val="42.642944634982854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24141568"/>
        <c:crosses val="max"/>
        <c:crossBetween val="between"/>
      </c:valAx>
      <c:catAx>
        <c:axId val="124141568"/>
        <c:scaling>
          <c:orientation val="minMax"/>
        </c:scaling>
        <c:delete val="1"/>
        <c:axPos val="b"/>
        <c:tickLblPos val="none"/>
        <c:crossAx val="124119296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5388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1.1000000000000001</c:v>
                </c:pt>
                <c:pt idx="1">
                  <c:v>0.84</c:v>
                </c:pt>
                <c:pt idx="2">
                  <c:v>1.22</c:v>
                </c:pt>
                <c:pt idx="3">
                  <c:v>1.07</c:v>
                </c:pt>
                <c:pt idx="4">
                  <c:v>1.1299999999999999</c:v>
                </c:pt>
                <c:pt idx="5">
                  <c:v>0.73</c:v>
                </c:pt>
                <c:pt idx="6">
                  <c:v>1.43</c:v>
                </c:pt>
                <c:pt idx="7">
                  <c:v>1.89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6285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0.98</c:v>
                </c:pt>
                <c:pt idx="1">
                  <c:v>0.78</c:v>
                </c:pt>
                <c:pt idx="2">
                  <c:v>1.18</c:v>
                </c:pt>
                <c:pt idx="3">
                  <c:v>1.1200000000000001</c:v>
                </c:pt>
                <c:pt idx="4">
                  <c:v>1.24</c:v>
                </c:pt>
                <c:pt idx="5">
                  <c:v>1.43</c:v>
                </c:pt>
                <c:pt idx="6">
                  <c:v>1.22</c:v>
                </c:pt>
                <c:pt idx="7">
                  <c:v>1.83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6285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/>
        <c:gapWidth val="138"/>
        <c:overlap val="38"/>
        <c:axId val="124851712"/>
        <c:axId val="124853248"/>
      </c:barChart>
      <c:catAx>
        <c:axId val="1248517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853248"/>
        <c:crosses val="autoZero"/>
        <c:auto val="1"/>
        <c:lblAlgn val="ctr"/>
        <c:lblOffset val="100"/>
      </c:catAx>
      <c:valAx>
        <c:axId val="124853248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8517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06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5388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0.33</c:v>
                </c:pt>
                <c:pt idx="1">
                  <c:v>0.41</c:v>
                </c:pt>
                <c:pt idx="2">
                  <c:v>0.51</c:v>
                </c:pt>
                <c:pt idx="3">
                  <c:v>0.61</c:v>
                </c:pt>
                <c:pt idx="4">
                  <c:v>0.59</c:v>
                </c:pt>
                <c:pt idx="5">
                  <c:v>0.28999999999999998</c:v>
                </c:pt>
                <c:pt idx="6">
                  <c:v>0.99</c:v>
                </c:pt>
                <c:pt idx="7">
                  <c:v>0.37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6285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0.67</c:v>
                </c:pt>
                <c:pt idx="1">
                  <c:v>0.67</c:v>
                </c:pt>
                <c:pt idx="2">
                  <c:v>0.61</c:v>
                </c:pt>
                <c:pt idx="3">
                  <c:v>1.1000000000000001</c:v>
                </c:pt>
                <c:pt idx="4">
                  <c:v>1</c:v>
                </c:pt>
                <c:pt idx="5">
                  <c:v>0.78</c:v>
                </c:pt>
                <c:pt idx="6">
                  <c:v>1.46</c:v>
                </c:pt>
                <c:pt idx="7">
                  <c:v>1.69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6285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/>
        <c:gapWidth val="138"/>
        <c:overlap val="38"/>
        <c:axId val="124909440"/>
        <c:axId val="124910976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5388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1.9791930981984267E-2</c:v>
                </c:pt>
                <c:pt idx="1">
                  <c:v>2.1134020618556702E-2</c:v>
                </c:pt>
                <c:pt idx="2">
                  <c:v>1.6891891891891893E-2</c:v>
                </c:pt>
                <c:pt idx="3">
                  <c:v>1.7043278437380315E-2</c:v>
                </c:pt>
                <c:pt idx="4">
                  <c:v>1.7027577271885988E-2</c:v>
                </c:pt>
                <c:pt idx="5">
                  <c:v>1.8785336494619734E-2</c:v>
                </c:pt>
                <c:pt idx="6">
                  <c:v>1.4133799973078476E-2</c:v>
                </c:pt>
                <c:pt idx="7">
                  <c:v>1.2751071992778154E-2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6285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2.7473893585280955E-2</c:v>
                </c:pt>
                <c:pt idx="1">
                  <c:v>3.1206464196154918E-2</c:v>
                </c:pt>
                <c:pt idx="2">
                  <c:v>2.5807951639153684E-2</c:v>
                </c:pt>
                <c:pt idx="3">
                  <c:v>2.4543136421589461E-2</c:v>
                </c:pt>
                <c:pt idx="4">
                  <c:v>2.5012866700977868E-2</c:v>
                </c:pt>
                <c:pt idx="5">
                  <c:v>2.5977964217123218E-2</c:v>
                </c:pt>
                <c:pt idx="6">
                  <c:v>2.4040642293386556E-2</c:v>
                </c:pt>
                <c:pt idx="7">
                  <c:v>2.358490566037736E-2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6285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1"/>
        </c:ser>
        <c:dLbls/>
        <c:marker val="1"/>
        <c:axId val="124938880"/>
        <c:axId val="124937344"/>
      </c:lineChart>
      <c:catAx>
        <c:axId val="12490944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910976"/>
        <c:crosses val="autoZero"/>
        <c:auto val="1"/>
        <c:lblAlgn val="ctr"/>
        <c:lblOffset val="100"/>
      </c:catAx>
      <c:valAx>
        <c:axId val="124910976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909440"/>
        <c:crosses val="autoZero"/>
        <c:crossBetween val="between"/>
      </c:valAx>
      <c:valAx>
        <c:axId val="12493734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24938880"/>
        <c:crosses val="max"/>
        <c:crossBetween val="between"/>
      </c:valAx>
      <c:catAx>
        <c:axId val="124938880"/>
        <c:scaling>
          <c:orientation val="minMax"/>
        </c:scaling>
        <c:delete val="1"/>
        <c:axPos val="b"/>
        <c:tickLblPos val="none"/>
        <c:crossAx val="12493734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15E-2"/>
          <c:y val="0.16182292279821966"/>
          <c:w val="0.80730084415123748"/>
          <c:h val="0.68052683182251861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5388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23.4</c:v>
                </c:pt>
                <c:pt idx="1">
                  <c:v>21.46</c:v>
                </c:pt>
                <c:pt idx="2">
                  <c:v>26.67</c:v>
                </c:pt>
                <c:pt idx="3">
                  <c:v>27.2</c:v>
                </c:pt>
                <c:pt idx="4">
                  <c:v>27.72</c:v>
                </c:pt>
                <c:pt idx="5">
                  <c:v>27.58</c:v>
                </c:pt>
                <c:pt idx="6">
                  <c:v>37.06</c:v>
                </c:pt>
                <c:pt idx="7">
                  <c:v>43.23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6285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28.99</c:v>
                </c:pt>
                <c:pt idx="1">
                  <c:v>25.55</c:v>
                </c:pt>
                <c:pt idx="2">
                  <c:v>31.08</c:v>
                </c:pt>
                <c:pt idx="3">
                  <c:v>33</c:v>
                </c:pt>
                <c:pt idx="4">
                  <c:v>34.26</c:v>
                </c:pt>
                <c:pt idx="5">
                  <c:v>35.01</c:v>
                </c:pt>
                <c:pt idx="6">
                  <c:v>38.28</c:v>
                </c:pt>
                <c:pt idx="7">
                  <c:v>40.92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6285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/>
        <c:gapWidth val="138"/>
        <c:overlap val="38"/>
        <c:axId val="124998784"/>
        <c:axId val="125000320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5388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0.17930029154518951</c:v>
                </c:pt>
                <c:pt idx="1">
                  <c:v>0.16934275315778205</c:v>
                </c:pt>
                <c:pt idx="2">
                  <c:v>0.16425842883241987</c:v>
                </c:pt>
                <c:pt idx="3">
                  <c:v>0.15047990889864976</c:v>
                </c:pt>
                <c:pt idx="4">
                  <c:v>0.14966949952785646</c:v>
                </c:pt>
                <c:pt idx="5">
                  <c:v>0.13612730423822278</c:v>
                </c:pt>
                <c:pt idx="6">
                  <c:v>0.13232889511796309</c:v>
                </c:pt>
                <c:pt idx="7">
                  <c:v>0.14911185789726356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6285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0.13644659151905528</c:v>
                </c:pt>
                <c:pt idx="1">
                  <c:v>0.12644517463794572</c:v>
                </c:pt>
                <c:pt idx="2">
                  <c:v>0.14005798260521843</c:v>
                </c:pt>
                <c:pt idx="3">
                  <c:v>0.13197454578991055</c:v>
                </c:pt>
                <c:pt idx="4">
                  <c:v>0.13751775568181818</c:v>
                </c:pt>
                <c:pt idx="5">
                  <c:v>0.14063585823488534</c:v>
                </c:pt>
                <c:pt idx="6">
                  <c:v>0.12432475373371465</c:v>
                </c:pt>
                <c:pt idx="7">
                  <c:v>0.13463080399446023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6285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/>
        <c:marker val="1"/>
        <c:axId val="125036416"/>
        <c:axId val="125034880"/>
      </c:lineChart>
      <c:catAx>
        <c:axId val="12499878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5000320"/>
        <c:crosses val="autoZero"/>
        <c:auto val="1"/>
        <c:lblAlgn val="ctr"/>
        <c:lblOffset val="100"/>
      </c:catAx>
      <c:valAx>
        <c:axId val="12500032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998784"/>
        <c:crosses val="autoZero"/>
        <c:crossBetween val="between"/>
      </c:valAx>
      <c:valAx>
        <c:axId val="125034880"/>
        <c:scaling>
          <c:orientation val="minMax"/>
          <c:max val="0.18826530612244904"/>
          <c:min val="0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25036416"/>
        <c:crosses val="max"/>
        <c:crossBetween val="between"/>
      </c:valAx>
      <c:catAx>
        <c:axId val="125036416"/>
        <c:scaling>
          <c:orientation val="minMax"/>
        </c:scaling>
        <c:delete val="1"/>
        <c:axPos val="b"/>
        <c:tickLblPos val="none"/>
        <c:crossAx val="12503488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56.emf"/><Relationship Id="rId3" Type="http://schemas.openxmlformats.org/officeDocument/2006/relationships/image" Target="../media/image46.emf"/><Relationship Id="rId7" Type="http://schemas.openxmlformats.org/officeDocument/2006/relationships/image" Target="../media/image50.emf"/><Relationship Id="rId12" Type="http://schemas.openxmlformats.org/officeDocument/2006/relationships/image" Target="../media/image55.emf"/><Relationship Id="rId2" Type="http://schemas.openxmlformats.org/officeDocument/2006/relationships/image" Target="../media/image45.emf"/><Relationship Id="rId16" Type="http://schemas.openxmlformats.org/officeDocument/2006/relationships/image" Target="../media/image59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11" Type="http://schemas.openxmlformats.org/officeDocument/2006/relationships/image" Target="../media/image54.emf"/><Relationship Id="rId5" Type="http://schemas.openxmlformats.org/officeDocument/2006/relationships/image" Target="../media/image48.emf"/><Relationship Id="rId15" Type="http://schemas.openxmlformats.org/officeDocument/2006/relationships/image" Target="../media/image58.emf"/><Relationship Id="rId10" Type="http://schemas.openxmlformats.org/officeDocument/2006/relationships/image" Target="../media/image53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Relationship Id="rId14" Type="http://schemas.openxmlformats.org/officeDocument/2006/relationships/image" Target="../media/image5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image" Target="../media/image87.emf"/><Relationship Id="rId7" Type="http://schemas.openxmlformats.org/officeDocument/2006/relationships/image" Target="../media/image91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Relationship Id="rId9" Type="http://schemas.openxmlformats.org/officeDocument/2006/relationships/image" Target="../media/image9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4.emf"/><Relationship Id="rId1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537370</xdr:colOff>
      <xdr:row>35</xdr:row>
      <xdr:rowOff>154781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15" headers="0" growShrinkType="overwriteClear" fillFormulas="1" adjustColumnWidth="0" connectionId="19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1059" headers="0" backgroundRefresh="0" growShrinkType="overwriteClear" removeDataOnSave="1" preserveFormatting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058" headers="0" backgroundRefresh="0" growShrinkType="overwriteClear" removeDataOnSave="1" preserveFormatting="0" adjustColumnWidth="0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1057" headers="0" backgroundRefresh="0" growShrinkType="overwriteClear" removeDataOnSave="1" preserveFormatting="0" adjustColumnWidth="0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1056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055" headers="0" backgroundRefresh="0" growShrinkType="overwriteClear" removeDataOnSave="1" preserveFormatting="0" adjustColumnWidth="0" connectionId="2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054" headers="0" backgroundRefresh="0" growShrinkType="overwriteClear" removeDataOnSave="1" preserveFormatting="0" adjustColumnWidth="0" connectionId="23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1053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1052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1051" headers="0" backgroundRefresh="0" growShrinkType="overwriteClear" removeDataOnSave="1" preserveFormatting="0" adjustColumnWidth="0" connectionId="22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1050" headers="0" backgroundRefresh="0" growShrinkType="overwriteClear" removeDataOnSave="1" preserveFormatting="0" adjustColumnWidth="0" connectionId="2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049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1048" headers="0" backgroundRefresh="0" growShrinkType="overwriteClear" removeDataOnSave="1" preserveFormatting="0" adjustColumnWidth="0" connectionId="2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1047" headers="0" backgroundRefresh="0" growShrinkType="overwriteClear" removeDataOnSave="1" preserveFormatting="0" adjustColumnWidth="0" connectionId="22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046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1045" headers="0" backgroundRefresh="0" growShrinkType="overwriteClear" removeDataOnSave="1" preserveFormatting="0" adjustColumnWidth="0" connectionId="21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1044" headers="0" backgroundRefresh="0" growShrinkType="overwriteClear" removeDataOnSave="1" preserveFormatting="0" adjustColumnWidth="0" connectionId="2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1043" headers="0" backgroundRefresh="0" growShrinkType="overwriteClear" removeDataOnSave="1" preserveFormatting="0" adjustColumnWidth="0" connectionId="21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042" headers="0" backgroundRefresh="0" growShrinkType="overwriteClear" removeDataOnSave="1" preserveFormatting="0" adjustColumnWidth="0" connectionId="21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1041" headers="0" backgroundRefresh="0" growShrinkType="overwriteClear" removeDataOnSave="1" preserveFormatting="0" adjustColumnWidth="0" connectionId="2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1040" headers="0" backgroundRefresh="0" growShrinkType="overwriteClear" removeDataOnSave="1" preserveFormatting="0" adjustColumnWidth="0" connectionId="2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1039" headers="0" backgroundRefresh="0" growShrinkType="overwriteClear" removeDataOnSave="1" preserveFormatting="0" adjustColumnWidth="0" connectionId="20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1038" headers="0" backgroundRefresh="0" growShrinkType="overwriteClear" removeDataOnSave="1" preserveFormatting="0" adjustColumnWidth="0" connectionId="20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037" headers="0" backgroundRefresh="0" growShrinkType="overwriteClear" removeDataOnSave="1" preserveFormatting="0" adjustColumnWidth="0" connectionId="1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1036" headers="0" backgroundRefresh="0" growShrinkType="overwriteClear" removeDataOnSave="1" preserveFormatting="0" adjustColumnWidth="0" connectionId="19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1035" headers="0" backgroundRefresh="0" growShrinkType="overwriteClear" removeDataOnSave="1" preserveFormatting="0" adjustColumnWidth="0" connectionId="1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1034" headers="0" backgroundRefresh="0" growShrinkType="overwriteClear" removeDataOnSave="1" preserveFormatting="0" adjustColumnWidth="0" connectionId="19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033" headers="0" backgroundRefresh="0" growShrinkType="overwriteClear" removeDataOnSave="1" preserveFormatting="0" adjustColumnWidth="0" connectionId="18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032" headers="0" backgroundRefresh="0" growShrinkType="overwriteClear" removeDataOnSave="1" preserveFormatting="0" adjustColumnWidth="0" connectionId="18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031" headers="0" backgroundRefresh="0" growShrinkType="overwriteClear" removeDataOnSave="1" preserveFormatting="0" adjustColumnWidth="0" connectionId="18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1030" headers="0" backgroundRefresh="0" growShrinkType="overwriteClear" removeDataOnSave="1" preserveFormatting="0" adjustColumnWidth="0" connectionId="18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029" headers="0" backgroundRefresh="0" growShrinkType="overwriteClear" removeDataOnSave="1" preserveFormatting="0" adjustColumnWidth="0" connectionId="18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1028" headers="0" backgroundRefresh="0" growShrinkType="overwriteClear" removeDataOnSave="1" preserveFormatting="0" adjustColumnWidth="0" connectionId="17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1027" headers="0" backgroundRefresh="0" growShrinkType="overwriteClear" removeDataOnSave="1" preserveFormatting="0" adjustColumnWidth="0" connectionId="1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1026" headers="0" backgroundRefresh="0" growShrinkType="overwriteClear" removeDataOnSave="1" preserveFormatting="0" adjustColumnWidth="0" connectionId="17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1025" headers="0" backgroundRefresh="0" growShrinkType="overwriteClear" removeDataOnSave="1" preserveFormatting="0" adjustColumnWidth="0" connectionId="17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1024" headers="0" backgroundRefresh="0" growShrinkType="overwriteClear" removeDataOnSave="1" preserveFormatting="0" adjustColumnWidth="0" connectionId="1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1023" headers="0" backgroundRefresh="0" growShrinkType="overwriteClear" removeDataOnSave="1" preserveFormatting="0" adjustColumnWidth="0" connectionId="1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1022" headers="0" backgroundRefresh="0" growShrinkType="overwriteClear" removeDataOnSave="1" preserveFormatting="0" adjustColumnWidth="0" connectionId="1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1021" headers="0" backgroundRefresh="0" growShrinkType="overwriteClear" removeDataOnSave="1" preserveFormatting="0" adjustColumnWidth="0" connectionId="16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1020" headers="0" backgroundRefresh="0" growShrinkType="overwriteClear" removeDataOnSave="1" preserveFormatting="0" adjustColumnWidth="0" connectionId="16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1019" headers="0" backgroundRefresh="0" growShrinkType="overwriteClear" removeDataOnSave="1" preserveFormatting="0" adjustColumnWidth="0" connectionId="1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1018" headers="0" backgroundRefresh="0" growShrinkType="overwriteClear" removeDataOnSave="1" preserveFormatting="0" adjustColumnWidth="0" connectionId="15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1017" headers="0" backgroundRefresh="0" growShrinkType="overwriteClear" removeDataOnSave="1" preserveFormatting="0" adjustColumnWidth="0" connectionId="15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1016" headers="0" backgroundRefresh="0" growShrinkType="overwriteClear" removeDataOnSave="1" preserveFormatting="0" adjustColumnWidth="0" connectionId="15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1015" headers="0" backgroundRefresh="0" growShrinkType="overwriteClear" removeDataOnSave="1" preserveFormatting="0" adjustColumnWidth="0" connectionId="1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1014" headers="0" backgroundRefresh="0" growShrinkType="overwriteClear" removeDataOnSave="1" preserveFormatting="0" adjustColumnWidth="0" connectionId="15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1013" headers="0" backgroundRefresh="0" growShrinkType="overwriteClear" removeDataOnSave="1" preserveFormatting="0" adjustColumnWidth="0" connectionId="15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1012" headers="0" backgroundRefresh="0" growShrinkType="overwriteClear" removeDataOnSave="1" preserveFormatting="0" adjustColumnWidth="0" connectionId="1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1011" headers="0" backgroundRefresh="0" growShrinkType="overwriteClear" removeDataOnSave="1" preserveFormatting="0" adjustColumnWidth="0" connectionId="14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1010" headers="0" backgroundRefresh="0" growShrinkType="overwriteClear" removeDataOnSave="1" preserveFormatting="0" adjustColumnWidth="0" connectionId="14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1009" headers="0" backgroundRefresh="0" growShrinkType="overwriteClear" removeDataOnSave="1" preserveFormatting="0" adjustColumnWidth="0" connectionId="13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1008" headers="0" backgroundRefresh="0" growShrinkType="overwriteClear" removeDataOnSave="1" preserveFormatting="0" adjustColumnWidth="0" connectionId="13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1007" headers="0" backgroundRefresh="0" growShrinkType="overwriteClear" removeDataOnSave="1" preserveFormatting="0" adjustColumnWidth="0" connectionId="13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1006" headers="0" backgroundRefresh="0" growShrinkType="overwriteClear" removeDataOnSave="1" preserveFormatting="0" adjustColumnWidth="0" connectionId="13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1005" headers="0" backgroundRefresh="0" growShrinkType="overwriteClear" removeDataOnSave="1" preserveFormatting="0" adjustColumnWidth="0" connectionId="1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1004" headers="0" backgroundRefresh="0" growShrinkType="overwriteClear" removeDataOnSave="1" preserveFormatting="0" adjustColumnWidth="0" connectionId="1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1003" headers="0" backgroundRefresh="0" growShrinkType="overwriteClear" removeDataOnSave="1" preserveFormatting="0" adjustColumnWidth="0" connectionId="12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1002" headers="0" backgroundRefresh="0" growShrinkType="overwriteClear" removeDataOnSave="1" preserveFormatting="0" adjustColumnWidth="0" connectionId="1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1001" headers="0" backgroundRefresh="0" growShrinkType="overwriteClear" removeDataOnSave="1" preserveFormatting="0" adjustColumnWidth="0" connectionId="12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1000" headers="0" backgroundRefresh="0" growShrinkType="overwriteClear" removeDataOnSave="1" preserveFormatting="0" adjustColumnWidth="0" connectionId="11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999" headers="0" backgroundRefresh="0" growShrinkType="overwriteClear" removeDataOnSave="1" preserveFormatting="0" adjustColumnWidth="0" connectionId="11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998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997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996" headers="0" backgroundRefresh="0" growShrinkType="overwriteClear" removeDataOnSave="1" preserveFormatting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995" headers="0" backgroundRefresh="0" growShrinkType="overwriteClear" removeDataOnSave="1" preserveFormatting="0" adjustColumnWidth="0" connectionId="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968" headers="0" backgroundRefresh="0" growShrinkType="overwriteClear" removeDataOnSave="1" preserveFormatting="0" adjustColumnWidth="0" connectionId="1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938" headers="0" backgroundRefresh="0" growShrinkType="overwriteClear" removeDataOnSave="1" preserveFormatting="0" adjustColumnWidth="0" connectionId="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hyperlink" Target="https://tw.stock.yahoo.com/pf/pfsel?stocklist=5388;" TargetMode="Externa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mments" Target="../comments2.xml"/><Relationship Id="rId7" Type="http://schemas.openxmlformats.org/officeDocument/2006/relationships/drawing" Target="../drawings/drawing1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2" Type="http://schemas.openxmlformats.org/officeDocument/2006/relationships/hyperlink" Target="https://tw.stock.yahoo.com/pf/pfsel?stocklist=5388;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queryTable" Target="../queryTables/queryTable1.xml"/><Relationship Id="rId1" Type="http://schemas.openxmlformats.org/officeDocument/2006/relationships/hyperlink" Target="https://tw.stock.yahoo.com/q/bc?s=5388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5" Type="http://schemas.openxmlformats.org/officeDocument/2006/relationships/hyperlink" Target="https://tw.rd.yahoo.com/referurl/stock/other/SIG=125v47s73/**https:/tw.screener.finance.yahoo.net/screener/check.html?symid=5388" TargetMode="Externa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" Type="http://schemas.openxmlformats.org/officeDocument/2006/relationships/hyperlink" Target="https://tw.stock.yahoo.com/q/ts?s=5388" TargetMode="Externa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6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control" Target="../activeX/activeX37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0.xml"/><Relationship Id="rId5" Type="http://schemas.openxmlformats.org/officeDocument/2006/relationships/control" Target="../activeX/activeX39.xml"/><Relationship Id="rId4" Type="http://schemas.openxmlformats.org/officeDocument/2006/relationships/control" Target="../activeX/activeX38.xml"/><Relationship Id="rId9" Type="http://schemas.openxmlformats.org/officeDocument/2006/relationships/control" Target="../activeX/activeX4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9.xml"/><Relationship Id="rId26" Type="http://schemas.openxmlformats.org/officeDocument/2006/relationships/queryTable" Target="../queryTables/queryTable9.xml"/><Relationship Id="rId39" Type="http://schemas.openxmlformats.org/officeDocument/2006/relationships/queryTable" Target="../queryTables/queryTable22.xml"/><Relationship Id="rId21" Type="http://schemas.openxmlformats.org/officeDocument/2006/relationships/queryTable" Target="../queryTables/queryTable4.xml"/><Relationship Id="rId34" Type="http://schemas.openxmlformats.org/officeDocument/2006/relationships/queryTable" Target="../queryTables/queryTable17.xml"/><Relationship Id="rId42" Type="http://schemas.openxmlformats.org/officeDocument/2006/relationships/queryTable" Target="../queryTables/queryTable25.xml"/><Relationship Id="rId47" Type="http://schemas.openxmlformats.org/officeDocument/2006/relationships/queryTable" Target="../queryTables/queryTable30.xml"/><Relationship Id="rId50" Type="http://schemas.openxmlformats.org/officeDocument/2006/relationships/queryTable" Target="../queryTables/queryTable33.xml"/><Relationship Id="rId55" Type="http://schemas.openxmlformats.org/officeDocument/2006/relationships/queryTable" Target="../queryTables/queryTable38.xml"/><Relationship Id="rId63" Type="http://schemas.openxmlformats.org/officeDocument/2006/relationships/queryTable" Target="../queryTables/queryTable46.xml"/><Relationship Id="rId68" Type="http://schemas.openxmlformats.org/officeDocument/2006/relationships/queryTable" Target="../queryTables/queryTable51.xml"/><Relationship Id="rId76" Type="http://schemas.openxmlformats.org/officeDocument/2006/relationships/queryTable" Target="../queryTables/queryTable59.xml"/><Relationship Id="rId84" Type="http://schemas.openxmlformats.org/officeDocument/2006/relationships/queryTable" Target="../queryTables/queryTable67.xml"/><Relationship Id="rId7" Type="http://schemas.openxmlformats.org/officeDocument/2006/relationships/control" Target="../activeX/activeX48.xml"/><Relationship Id="rId71" Type="http://schemas.openxmlformats.org/officeDocument/2006/relationships/queryTable" Target="../queryTables/queryTable54.xml"/><Relationship Id="rId2" Type="http://schemas.openxmlformats.org/officeDocument/2006/relationships/vmlDrawing" Target="../drawings/vmlDrawing6.vml"/><Relationship Id="rId16" Type="http://schemas.openxmlformats.org/officeDocument/2006/relationships/control" Target="../activeX/activeX57.xml"/><Relationship Id="rId29" Type="http://schemas.openxmlformats.org/officeDocument/2006/relationships/queryTable" Target="../queryTables/queryTable12.xml"/><Relationship Id="rId11" Type="http://schemas.openxmlformats.org/officeDocument/2006/relationships/control" Target="../activeX/activeX52.xml"/><Relationship Id="rId24" Type="http://schemas.openxmlformats.org/officeDocument/2006/relationships/queryTable" Target="../queryTables/queryTable7.xml"/><Relationship Id="rId32" Type="http://schemas.openxmlformats.org/officeDocument/2006/relationships/queryTable" Target="../queryTables/queryTable15.xml"/><Relationship Id="rId37" Type="http://schemas.openxmlformats.org/officeDocument/2006/relationships/queryTable" Target="../queryTables/queryTable20.xml"/><Relationship Id="rId40" Type="http://schemas.openxmlformats.org/officeDocument/2006/relationships/queryTable" Target="../queryTables/queryTable23.xml"/><Relationship Id="rId45" Type="http://schemas.openxmlformats.org/officeDocument/2006/relationships/queryTable" Target="../queryTables/queryTable28.xml"/><Relationship Id="rId53" Type="http://schemas.openxmlformats.org/officeDocument/2006/relationships/queryTable" Target="../queryTables/queryTable36.xml"/><Relationship Id="rId58" Type="http://schemas.openxmlformats.org/officeDocument/2006/relationships/queryTable" Target="../queryTables/queryTable41.xml"/><Relationship Id="rId66" Type="http://schemas.openxmlformats.org/officeDocument/2006/relationships/queryTable" Target="../queryTables/queryTable49.xml"/><Relationship Id="rId74" Type="http://schemas.openxmlformats.org/officeDocument/2006/relationships/queryTable" Target="../queryTables/queryTable57.xml"/><Relationship Id="rId79" Type="http://schemas.openxmlformats.org/officeDocument/2006/relationships/queryTable" Target="../queryTables/queryTable62.xml"/><Relationship Id="rId87" Type="http://schemas.openxmlformats.org/officeDocument/2006/relationships/comments" Target="../comments3.xml"/><Relationship Id="rId5" Type="http://schemas.openxmlformats.org/officeDocument/2006/relationships/control" Target="../activeX/activeX46.xml"/><Relationship Id="rId61" Type="http://schemas.openxmlformats.org/officeDocument/2006/relationships/queryTable" Target="../queryTables/queryTable44.xml"/><Relationship Id="rId82" Type="http://schemas.openxmlformats.org/officeDocument/2006/relationships/queryTable" Target="../queryTables/queryTable65.xml"/><Relationship Id="rId19" Type="http://schemas.openxmlformats.org/officeDocument/2006/relationships/queryTable" Target="../queryTables/queryTable2.xml"/><Relationship Id="rId4" Type="http://schemas.openxmlformats.org/officeDocument/2006/relationships/control" Target="../activeX/activeX45.xml"/><Relationship Id="rId9" Type="http://schemas.openxmlformats.org/officeDocument/2006/relationships/control" Target="../activeX/activeX50.xml"/><Relationship Id="rId14" Type="http://schemas.openxmlformats.org/officeDocument/2006/relationships/control" Target="../activeX/activeX55.xml"/><Relationship Id="rId22" Type="http://schemas.openxmlformats.org/officeDocument/2006/relationships/queryTable" Target="../queryTables/queryTable5.xml"/><Relationship Id="rId27" Type="http://schemas.openxmlformats.org/officeDocument/2006/relationships/queryTable" Target="../queryTables/queryTable10.xml"/><Relationship Id="rId30" Type="http://schemas.openxmlformats.org/officeDocument/2006/relationships/queryTable" Target="../queryTables/queryTable13.xml"/><Relationship Id="rId35" Type="http://schemas.openxmlformats.org/officeDocument/2006/relationships/queryTable" Target="../queryTables/queryTable18.xml"/><Relationship Id="rId43" Type="http://schemas.openxmlformats.org/officeDocument/2006/relationships/queryTable" Target="../queryTables/queryTable26.xml"/><Relationship Id="rId48" Type="http://schemas.openxmlformats.org/officeDocument/2006/relationships/queryTable" Target="../queryTables/queryTable31.xml"/><Relationship Id="rId56" Type="http://schemas.openxmlformats.org/officeDocument/2006/relationships/queryTable" Target="../queryTables/queryTable39.xml"/><Relationship Id="rId64" Type="http://schemas.openxmlformats.org/officeDocument/2006/relationships/queryTable" Target="../queryTables/queryTable47.xml"/><Relationship Id="rId69" Type="http://schemas.openxmlformats.org/officeDocument/2006/relationships/queryTable" Target="../queryTables/queryTable52.xml"/><Relationship Id="rId77" Type="http://schemas.openxmlformats.org/officeDocument/2006/relationships/queryTable" Target="../queryTables/queryTable60.xml"/><Relationship Id="rId8" Type="http://schemas.openxmlformats.org/officeDocument/2006/relationships/control" Target="../activeX/activeX49.xml"/><Relationship Id="rId51" Type="http://schemas.openxmlformats.org/officeDocument/2006/relationships/queryTable" Target="../queryTables/queryTable34.xml"/><Relationship Id="rId72" Type="http://schemas.openxmlformats.org/officeDocument/2006/relationships/queryTable" Target="../queryTables/queryTable55.xml"/><Relationship Id="rId80" Type="http://schemas.openxmlformats.org/officeDocument/2006/relationships/queryTable" Target="../queryTables/queryTable63.xml"/><Relationship Id="rId85" Type="http://schemas.openxmlformats.org/officeDocument/2006/relationships/queryTable" Target="../queryTables/queryTable68.xml"/><Relationship Id="rId3" Type="http://schemas.openxmlformats.org/officeDocument/2006/relationships/control" Target="../activeX/activeX44.xml"/><Relationship Id="rId12" Type="http://schemas.openxmlformats.org/officeDocument/2006/relationships/control" Target="../activeX/activeX53.xml"/><Relationship Id="rId17" Type="http://schemas.openxmlformats.org/officeDocument/2006/relationships/control" Target="../activeX/activeX58.xml"/><Relationship Id="rId25" Type="http://schemas.openxmlformats.org/officeDocument/2006/relationships/queryTable" Target="../queryTables/queryTable8.xml"/><Relationship Id="rId33" Type="http://schemas.openxmlformats.org/officeDocument/2006/relationships/queryTable" Target="../queryTables/queryTable16.xml"/><Relationship Id="rId38" Type="http://schemas.openxmlformats.org/officeDocument/2006/relationships/queryTable" Target="../queryTables/queryTable21.xml"/><Relationship Id="rId46" Type="http://schemas.openxmlformats.org/officeDocument/2006/relationships/queryTable" Target="../queryTables/queryTable29.xml"/><Relationship Id="rId59" Type="http://schemas.openxmlformats.org/officeDocument/2006/relationships/queryTable" Target="../queryTables/queryTable42.xml"/><Relationship Id="rId67" Type="http://schemas.openxmlformats.org/officeDocument/2006/relationships/queryTable" Target="../queryTables/queryTable50.xml"/><Relationship Id="rId20" Type="http://schemas.openxmlformats.org/officeDocument/2006/relationships/queryTable" Target="../queryTables/queryTable3.xml"/><Relationship Id="rId41" Type="http://schemas.openxmlformats.org/officeDocument/2006/relationships/queryTable" Target="../queryTables/queryTable24.xml"/><Relationship Id="rId54" Type="http://schemas.openxmlformats.org/officeDocument/2006/relationships/queryTable" Target="../queryTables/queryTable37.xml"/><Relationship Id="rId62" Type="http://schemas.openxmlformats.org/officeDocument/2006/relationships/queryTable" Target="../queryTables/queryTable45.xml"/><Relationship Id="rId70" Type="http://schemas.openxmlformats.org/officeDocument/2006/relationships/queryTable" Target="../queryTables/queryTable53.xml"/><Relationship Id="rId75" Type="http://schemas.openxmlformats.org/officeDocument/2006/relationships/queryTable" Target="../queryTables/queryTable58.xml"/><Relationship Id="rId83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7.xml"/><Relationship Id="rId15" Type="http://schemas.openxmlformats.org/officeDocument/2006/relationships/control" Target="../activeX/activeX56.xml"/><Relationship Id="rId23" Type="http://schemas.openxmlformats.org/officeDocument/2006/relationships/queryTable" Target="../queryTables/queryTable6.xml"/><Relationship Id="rId28" Type="http://schemas.openxmlformats.org/officeDocument/2006/relationships/queryTable" Target="../queryTables/queryTable11.xml"/><Relationship Id="rId36" Type="http://schemas.openxmlformats.org/officeDocument/2006/relationships/queryTable" Target="../queryTables/queryTable19.xml"/><Relationship Id="rId49" Type="http://schemas.openxmlformats.org/officeDocument/2006/relationships/queryTable" Target="../queryTables/queryTable32.xml"/><Relationship Id="rId57" Type="http://schemas.openxmlformats.org/officeDocument/2006/relationships/queryTable" Target="../queryTables/queryTable40.xml"/><Relationship Id="rId10" Type="http://schemas.openxmlformats.org/officeDocument/2006/relationships/control" Target="../activeX/activeX51.xml"/><Relationship Id="rId31" Type="http://schemas.openxmlformats.org/officeDocument/2006/relationships/queryTable" Target="../queryTables/queryTable14.xml"/><Relationship Id="rId44" Type="http://schemas.openxmlformats.org/officeDocument/2006/relationships/queryTable" Target="../queryTables/queryTable27.xml"/><Relationship Id="rId52" Type="http://schemas.openxmlformats.org/officeDocument/2006/relationships/queryTable" Target="../queryTables/queryTable35.xml"/><Relationship Id="rId60" Type="http://schemas.openxmlformats.org/officeDocument/2006/relationships/queryTable" Target="../queryTables/queryTable43.xml"/><Relationship Id="rId65" Type="http://schemas.openxmlformats.org/officeDocument/2006/relationships/queryTable" Target="../queryTables/queryTable48.xml"/><Relationship Id="rId73" Type="http://schemas.openxmlformats.org/officeDocument/2006/relationships/queryTable" Target="../queryTables/queryTable56.xml"/><Relationship Id="rId78" Type="http://schemas.openxmlformats.org/officeDocument/2006/relationships/queryTable" Target="../queryTables/queryTable61.xml"/><Relationship Id="rId81" Type="http://schemas.openxmlformats.org/officeDocument/2006/relationships/queryTable" Target="../queryTables/queryTable64.xml"/><Relationship Id="rId86" Type="http://schemas.openxmlformats.org/officeDocument/2006/relationships/queryTable" Target="../queryTables/queryTable6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norway.twsthr.info/StockHolders.aspx?stock=1319" TargetMode="External"/><Relationship Id="rId13" Type="http://schemas.openxmlformats.org/officeDocument/2006/relationships/hyperlink" Target="http://norway.twsthr.info/StockHolders.aspx?stock=2409" TargetMode="External"/><Relationship Id="rId18" Type="http://schemas.openxmlformats.org/officeDocument/2006/relationships/hyperlink" Target="http://norway.twsthr.info/StockHolders.aspx?stock=4429" TargetMode="External"/><Relationship Id="rId26" Type="http://schemas.openxmlformats.org/officeDocument/2006/relationships/hyperlink" Target="http://norway.twsthr.info/StockHolders.aspx?stock=9938" TargetMode="External"/><Relationship Id="rId39" Type="http://schemas.openxmlformats.org/officeDocument/2006/relationships/control" Target="../activeX/activeX70.xml"/><Relationship Id="rId3" Type="http://schemas.openxmlformats.org/officeDocument/2006/relationships/hyperlink" Target="https://tw.stock.yahoo.com/d/s/earning_3152.html" TargetMode="External"/><Relationship Id="rId21" Type="http://schemas.openxmlformats.org/officeDocument/2006/relationships/hyperlink" Target="http://norway.twsthr.info/StockHolders.aspx?stock=5266" TargetMode="External"/><Relationship Id="rId34" Type="http://schemas.openxmlformats.org/officeDocument/2006/relationships/control" Target="../activeX/activeX65.xml"/><Relationship Id="rId7" Type="http://schemas.openxmlformats.org/officeDocument/2006/relationships/hyperlink" Target="http://norway.twsthr.info/StockHolders.aspx?stock=1312" TargetMode="External"/><Relationship Id="rId12" Type="http://schemas.openxmlformats.org/officeDocument/2006/relationships/hyperlink" Target="http://norway.twsthr.info/StockHolders.aspx?stock=2368" TargetMode="External"/><Relationship Id="rId17" Type="http://schemas.openxmlformats.org/officeDocument/2006/relationships/hyperlink" Target="http://norway.twsthr.info/StockHolders.aspx?stock=4198" TargetMode="External"/><Relationship Id="rId25" Type="http://schemas.openxmlformats.org/officeDocument/2006/relationships/hyperlink" Target="http://norway.twsthr.info/StockHolders.aspx?stock=8390" TargetMode="External"/><Relationship Id="rId33" Type="http://schemas.openxmlformats.org/officeDocument/2006/relationships/control" Target="../activeX/activeX64.xml"/><Relationship Id="rId38" Type="http://schemas.openxmlformats.org/officeDocument/2006/relationships/control" Target="../activeX/activeX69.xml"/><Relationship Id="rId2" Type="http://schemas.openxmlformats.org/officeDocument/2006/relationships/hyperlink" Target="https://tw.stock.yahoo.com/d/s/earning_2433.html" TargetMode="External"/><Relationship Id="rId16" Type="http://schemas.openxmlformats.org/officeDocument/2006/relationships/hyperlink" Target="http://norway.twsthr.info/StockHolders.aspx?stock=3038" TargetMode="External"/><Relationship Id="rId20" Type="http://schemas.openxmlformats.org/officeDocument/2006/relationships/hyperlink" Target="http://norway.twsthr.info/StockHolders.aspx?stock=4728" TargetMode="External"/><Relationship Id="rId29" Type="http://schemas.openxmlformats.org/officeDocument/2006/relationships/control" Target="../activeX/activeX60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1" Type="http://schemas.openxmlformats.org/officeDocument/2006/relationships/hyperlink" Target="http://norway.twsthr.info/StockHolders.aspx?stock=1788" TargetMode="External"/><Relationship Id="rId24" Type="http://schemas.openxmlformats.org/officeDocument/2006/relationships/hyperlink" Target="http://norway.twsthr.info/StockHolders.aspx?stock=8043" TargetMode="External"/><Relationship Id="rId32" Type="http://schemas.openxmlformats.org/officeDocument/2006/relationships/control" Target="../activeX/activeX63.xml"/><Relationship Id="rId37" Type="http://schemas.openxmlformats.org/officeDocument/2006/relationships/control" Target="../activeX/activeX68.xml"/><Relationship Id="rId40" Type="http://schemas.openxmlformats.org/officeDocument/2006/relationships/control" Target="../activeX/activeX71.xml"/><Relationship Id="rId5" Type="http://schemas.openxmlformats.org/officeDocument/2006/relationships/hyperlink" Target="https://tw.stock.yahoo.com/d/s/earning_3205.html" TargetMode="External"/><Relationship Id="rId15" Type="http://schemas.openxmlformats.org/officeDocument/2006/relationships/hyperlink" Target="http://norway.twsthr.info/StockHolders.aspx?stock=2731" TargetMode="External"/><Relationship Id="rId23" Type="http://schemas.openxmlformats.org/officeDocument/2006/relationships/hyperlink" Target="http://norway.twsthr.info/StockHolders.aspx?stock=8016" TargetMode="External"/><Relationship Id="rId28" Type="http://schemas.openxmlformats.org/officeDocument/2006/relationships/vmlDrawing" Target="../drawings/vmlDrawing7.vml"/><Relationship Id="rId36" Type="http://schemas.openxmlformats.org/officeDocument/2006/relationships/control" Target="../activeX/activeX67.xml"/><Relationship Id="rId10" Type="http://schemas.openxmlformats.org/officeDocument/2006/relationships/hyperlink" Target="http://norway.twsthr.info/StockHolders.aspx?stock=1476" TargetMode="External"/><Relationship Id="rId19" Type="http://schemas.openxmlformats.org/officeDocument/2006/relationships/hyperlink" Target="http://norway.twsthr.info/StockHolders.aspx?stock=4726" TargetMode="External"/><Relationship Id="rId31" Type="http://schemas.openxmlformats.org/officeDocument/2006/relationships/control" Target="../activeX/activeX62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64" TargetMode="External"/><Relationship Id="rId14" Type="http://schemas.openxmlformats.org/officeDocument/2006/relationships/hyperlink" Target="http://norway.twsthr.info/StockHolders.aspx?stock=2456" TargetMode="External"/><Relationship Id="rId22" Type="http://schemas.openxmlformats.org/officeDocument/2006/relationships/hyperlink" Target="http://norway.twsthr.info/StockHolders.aspx?stock=6221" TargetMode="External"/><Relationship Id="rId27" Type="http://schemas.openxmlformats.org/officeDocument/2006/relationships/printerSettings" Target="../printerSettings/printerSettings5.bin"/><Relationship Id="rId30" Type="http://schemas.openxmlformats.org/officeDocument/2006/relationships/control" Target="../activeX/activeX61.xml"/><Relationship Id="rId35" Type="http://schemas.openxmlformats.org/officeDocument/2006/relationships/control" Target="../activeX/activeX6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8.v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5" Type="http://schemas.openxmlformats.org/officeDocument/2006/relationships/control" Target="../activeX/activeX73.xml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4.xml"/><Relationship Id="rId5" Type="http://schemas.openxmlformats.org/officeDocument/2006/relationships/control" Target="../activeX/activeX83.xml"/><Relationship Id="rId4" Type="http://schemas.openxmlformats.org/officeDocument/2006/relationships/control" Target="../activeX/activeX8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control" Target="../activeX/activeX85.xml"/><Relationship Id="rId7" Type="http://schemas.openxmlformats.org/officeDocument/2006/relationships/control" Target="../activeX/activeX8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8.xml"/><Relationship Id="rId11" Type="http://schemas.openxmlformats.org/officeDocument/2006/relationships/control" Target="../activeX/activeX93.xml"/><Relationship Id="rId5" Type="http://schemas.openxmlformats.org/officeDocument/2006/relationships/control" Target="../activeX/activeX87.xml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6.xml"/><Relationship Id="rId9" Type="http://schemas.openxmlformats.org/officeDocument/2006/relationships/control" Target="../activeX/activeX9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7" Type="http://schemas.openxmlformats.org/officeDocument/2006/relationships/control" Target="../activeX/activeX100.xml"/><Relationship Id="rId2" Type="http://schemas.openxmlformats.org/officeDocument/2006/relationships/control" Target="../activeX/activeX95.xml"/><Relationship Id="rId1" Type="http://schemas.openxmlformats.org/officeDocument/2006/relationships/vmlDrawing" Target="../drawings/vmlDrawing12.vml"/><Relationship Id="rId6" Type="http://schemas.openxmlformats.org/officeDocument/2006/relationships/control" Target="../activeX/activeX99.xml"/><Relationship Id="rId5" Type="http://schemas.openxmlformats.org/officeDocument/2006/relationships/control" Target="../activeX/activeX98.xml"/><Relationship Id="rId4" Type="http://schemas.openxmlformats.org/officeDocument/2006/relationships/control" Target="../activeX/activeX9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0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0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3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2.bin"/><Relationship Id="rId4" Type="http://schemas.openxmlformats.org/officeDocument/2006/relationships/control" Target="../activeX/activeX10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J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23" sqref="B23"/>
    </sheetView>
  </sheetViews>
  <sheetFormatPr defaultColWidth="15.625" defaultRowHeight="19.5"/>
  <cols>
    <col min="1" max="2" width="15.625" style="138"/>
    <col min="3" max="3" width="13.125" style="138" customWidth="1"/>
    <col min="4" max="4" width="13" style="198" bestFit="1" customWidth="1"/>
    <col min="5" max="5" width="13" style="198" customWidth="1"/>
    <col min="6" max="6" width="16.375" style="203" bestFit="1" customWidth="1"/>
    <col min="7" max="7" width="16.375" style="203" customWidth="1"/>
    <col min="8" max="8" width="16.25" style="198" bestFit="1" customWidth="1"/>
    <col min="9" max="9" width="13" style="198" bestFit="1" customWidth="1"/>
    <col min="10" max="10" width="13.875" style="198" bestFit="1" customWidth="1"/>
    <col min="11" max="16384" width="15.625" style="138"/>
  </cols>
  <sheetData>
    <row r="1" spans="1:10" s="185" customFormat="1" ht="24.75" customHeight="1">
      <c r="A1" s="185" t="s">
        <v>1876</v>
      </c>
      <c r="D1" s="185" t="s">
        <v>1892</v>
      </c>
      <c r="E1" s="185" t="s">
        <v>1966</v>
      </c>
      <c r="F1" s="185" t="s">
        <v>1975</v>
      </c>
      <c r="G1" s="185" t="s">
        <v>1975</v>
      </c>
      <c r="H1" s="204" t="str">
        <f>"待讀" &amp; COUNTA(H2:H2000) &amp; "  家"</f>
        <v>待讀0  家</v>
      </c>
      <c r="I1" s="185" t="s">
        <v>1924</v>
      </c>
      <c r="J1" s="185" t="s">
        <v>1925</v>
      </c>
    </row>
    <row r="2" spans="1:10">
      <c r="A2" s="139" t="s">
        <v>1877</v>
      </c>
      <c r="B2" s="140">
        <f ca="1">TODAY()</f>
        <v>42372</v>
      </c>
      <c r="C2" s="144">
        <f ca="1">B2-WEEKDAY(TODAY())-1</f>
        <v>42370</v>
      </c>
      <c r="D2" s="198">
        <v>1101</v>
      </c>
      <c r="E2" s="198">
        <v>2428</v>
      </c>
    </row>
    <row r="3" spans="1:10">
      <c r="A3" s="141" t="s">
        <v>1878</v>
      </c>
      <c r="B3" s="142" t="s">
        <v>1885</v>
      </c>
      <c r="C3" s="144">
        <f ca="1">C2-7</f>
        <v>42363</v>
      </c>
      <c r="D3" s="198">
        <v>1102</v>
      </c>
      <c r="E3" s="198">
        <v>2441</v>
      </c>
      <c r="F3" s="198"/>
      <c r="G3" s="198"/>
    </row>
    <row r="4" spans="1:10">
      <c r="A4" s="141" t="s">
        <v>1878</v>
      </c>
      <c r="B4" s="142" t="s">
        <v>1881</v>
      </c>
      <c r="C4" s="144">
        <f ca="1">C3-7</f>
        <v>42356</v>
      </c>
      <c r="D4" s="198">
        <v>1103</v>
      </c>
      <c r="E4" s="198">
        <v>2495</v>
      </c>
      <c r="F4" s="198"/>
      <c r="G4" s="198"/>
      <c r="I4" s="184"/>
    </row>
    <row r="5" spans="1:10">
      <c r="A5" s="141" t="s">
        <v>1878</v>
      </c>
      <c r="B5" s="142" t="s">
        <v>1882</v>
      </c>
      <c r="C5" s="144">
        <f ca="1">C4-7</f>
        <v>42349</v>
      </c>
      <c r="D5" s="198">
        <v>1104</v>
      </c>
      <c r="E5" s="198">
        <v>2849</v>
      </c>
      <c r="I5" s="184"/>
    </row>
    <row r="6" spans="1:10">
      <c r="A6" s="141" t="s">
        <v>1878</v>
      </c>
      <c r="B6" s="142" t="s">
        <v>1883</v>
      </c>
      <c r="C6" s="144">
        <f ca="1">C5-7</f>
        <v>42342</v>
      </c>
      <c r="D6" s="198">
        <v>1108</v>
      </c>
      <c r="E6" s="198">
        <v>3078</v>
      </c>
      <c r="F6" s="198"/>
      <c r="G6" s="198"/>
      <c r="I6" s="184"/>
    </row>
    <row r="7" spans="1:10">
      <c r="A7" s="141" t="s">
        <v>1878</v>
      </c>
      <c r="B7" s="142" t="s">
        <v>1884</v>
      </c>
      <c r="C7" s="144">
        <f ca="1">C6-7</f>
        <v>42335</v>
      </c>
      <c r="D7" s="198">
        <v>1109</v>
      </c>
      <c r="E7" s="198">
        <v>3231</v>
      </c>
      <c r="F7" s="198"/>
      <c r="G7" s="198"/>
      <c r="I7" s="184"/>
    </row>
    <row r="8" spans="1:10">
      <c r="A8" s="141" t="s">
        <v>1943</v>
      </c>
      <c r="B8" s="142"/>
      <c r="C8" s="138">
        <v>0.02</v>
      </c>
      <c r="D8" s="198">
        <v>1110</v>
      </c>
      <c r="E8" s="198">
        <v>3293</v>
      </c>
      <c r="F8" s="198"/>
      <c r="G8" s="198"/>
      <c r="I8" s="184"/>
    </row>
    <row r="9" spans="1:10">
      <c r="A9" s="143" t="s">
        <v>150</v>
      </c>
      <c r="B9" s="143"/>
      <c r="C9" s="143">
        <v>25</v>
      </c>
      <c r="D9" s="198">
        <v>1201</v>
      </c>
      <c r="E9" s="198">
        <v>3428</v>
      </c>
      <c r="F9" s="198"/>
      <c r="G9" s="198"/>
      <c r="I9" s="184"/>
    </row>
    <row r="10" spans="1:10">
      <c r="A10" s="143" t="s">
        <v>218</v>
      </c>
      <c r="B10" s="143"/>
      <c r="C10" s="143"/>
      <c r="D10" s="198">
        <v>1203</v>
      </c>
      <c r="E10" s="198">
        <v>4186</v>
      </c>
      <c r="I10" s="184"/>
    </row>
    <row r="11" spans="1:10">
      <c r="A11" s="143" t="s">
        <v>219</v>
      </c>
      <c r="B11" s="143"/>
      <c r="C11" s="143"/>
      <c r="D11" s="198">
        <v>1210</v>
      </c>
      <c r="E11" s="198">
        <v>4195</v>
      </c>
      <c r="F11" s="198"/>
      <c r="G11" s="198"/>
      <c r="I11" s="184"/>
    </row>
    <row r="12" spans="1:10">
      <c r="D12" s="198">
        <v>1213</v>
      </c>
      <c r="E12" s="198">
        <v>4728</v>
      </c>
      <c r="F12" s="184"/>
      <c r="G12" s="290"/>
      <c r="I12" s="184"/>
    </row>
    <row r="13" spans="1:10">
      <c r="D13" s="198">
        <v>1215</v>
      </c>
      <c r="E13" s="198">
        <v>4739</v>
      </c>
      <c r="F13" s="198"/>
      <c r="G13" s="198"/>
      <c r="I13" s="184"/>
    </row>
    <row r="14" spans="1:10">
      <c r="D14" s="198">
        <v>1216</v>
      </c>
      <c r="E14" s="198">
        <v>4802</v>
      </c>
      <c r="F14" s="198"/>
      <c r="G14" s="198"/>
      <c r="I14" s="184"/>
    </row>
    <row r="15" spans="1:10">
      <c r="D15" s="198">
        <v>1217</v>
      </c>
      <c r="E15" s="198">
        <v>4906</v>
      </c>
      <c r="F15" s="198"/>
      <c r="G15" s="198"/>
      <c r="I15" s="184"/>
    </row>
    <row r="16" spans="1:10">
      <c r="D16" s="198">
        <v>1218</v>
      </c>
      <c r="E16" s="198">
        <v>4949</v>
      </c>
      <c r="I16" s="184"/>
    </row>
    <row r="17" spans="4:9">
      <c r="D17" s="198">
        <v>1219</v>
      </c>
      <c r="E17" s="198">
        <v>5299</v>
      </c>
      <c r="F17" s="198"/>
      <c r="G17" s="198"/>
      <c r="I17" s="184"/>
    </row>
    <row r="18" spans="4:9">
      <c r="D18" s="198">
        <v>1220</v>
      </c>
      <c r="E18" s="198">
        <v>5498</v>
      </c>
      <c r="I18" s="184"/>
    </row>
    <row r="19" spans="4:9">
      <c r="D19" s="198">
        <v>1225</v>
      </c>
      <c r="E19" s="198">
        <v>6158</v>
      </c>
      <c r="I19" s="184"/>
    </row>
    <row r="20" spans="4:9">
      <c r="D20" s="198">
        <v>1227</v>
      </c>
      <c r="E20" s="198">
        <v>6173</v>
      </c>
      <c r="I20" s="184"/>
    </row>
    <row r="21" spans="4:9">
      <c r="D21" s="198">
        <v>1229</v>
      </c>
      <c r="E21" s="198">
        <v>6230</v>
      </c>
      <c r="I21" s="184"/>
    </row>
    <row r="22" spans="4:9">
      <c r="D22" s="198">
        <v>1231</v>
      </c>
      <c r="E22" s="198">
        <v>6261</v>
      </c>
      <c r="F22" s="184"/>
      <c r="G22" s="290"/>
      <c r="I22" s="184"/>
    </row>
    <row r="23" spans="4:9">
      <c r="D23" s="198">
        <v>1232</v>
      </c>
      <c r="E23" s="198">
        <v>6535</v>
      </c>
      <c r="I23" s="184"/>
    </row>
    <row r="24" spans="4:9">
      <c r="D24" s="198">
        <v>1233</v>
      </c>
      <c r="E24" s="198">
        <v>6541</v>
      </c>
      <c r="F24" s="184"/>
      <c r="G24" s="290"/>
      <c r="I24" s="184"/>
    </row>
    <row r="25" spans="4:9">
      <c r="D25" s="198">
        <v>1234</v>
      </c>
      <c r="E25" s="198">
        <v>8210</v>
      </c>
      <c r="F25" s="184"/>
      <c r="G25" s="290"/>
    </row>
    <row r="26" spans="4:9">
      <c r="D26" s="198">
        <v>1235</v>
      </c>
      <c r="E26" s="198">
        <v>8329</v>
      </c>
      <c r="F26" s="184"/>
      <c r="G26" s="290"/>
    </row>
    <row r="27" spans="4:9">
      <c r="D27" s="198">
        <v>1236</v>
      </c>
      <c r="F27" s="184"/>
      <c r="G27" s="290"/>
    </row>
    <row r="28" spans="4:9">
      <c r="D28" s="198">
        <v>1262</v>
      </c>
      <c r="F28" s="184"/>
      <c r="G28" s="290"/>
    </row>
    <row r="29" spans="4:9">
      <c r="D29" s="198">
        <v>1301</v>
      </c>
      <c r="F29" s="184"/>
      <c r="G29" s="290"/>
    </row>
    <row r="30" spans="4:9">
      <c r="D30" s="198">
        <v>1303</v>
      </c>
      <c r="F30" s="184"/>
      <c r="G30" s="290"/>
    </row>
    <row r="31" spans="4:9">
      <c r="D31" s="198">
        <v>1304</v>
      </c>
    </row>
    <row r="32" spans="4:9">
      <c r="D32" s="198">
        <v>1305</v>
      </c>
    </row>
    <row r="33" spans="4:7">
      <c r="D33" s="198">
        <v>1307</v>
      </c>
    </row>
    <row r="34" spans="4:7">
      <c r="D34" s="198">
        <v>1308</v>
      </c>
      <c r="F34" s="184"/>
      <c r="G34" s="290"/>
    </row>
    <row r="35" spans="4:7">
      <c r="D35" s="198">
        <v>1309</v>
      </c>
      <c r="F35" s="184"/>
      <c r="G35" s="290"/>
    </row>
    <row r="36" spans="4:7">
      <c r="D36" s="198">
        <v>1310</v>
      </c>
      <c r="F36" s="184"/>
      <c r="G36" s="290"/>
    </row>
    <row r="37" spans="4:7">
      <c r="D37" s="198">
        <v>1312</v>
      </c>
    </row>
    <row r="38" spans="4:7">
      <c r="D38" s="198">
        <v>1313</v>
      </c>
      <c r="F38" s="184"/>
      <c r="G38" s="290"/>
    </row>
    <row r="39" spans="4:7">
      <c r="D39" s="198">
        <v>1314</v>
      </c>
      <c r="F39" s="184"/>
      <c r="G39" s="290"/>
    </row>
    <row r="40" spans="4:7">
      <c r="D40" s="198">
        <v>1315</v>
      </c>
      <c r="F40" s="184"/>
      <c r="G40" s="290"/>
    </row>
    <row r="41" spans="4:7">
      <c r="D41" s="198">
        <v>1316</v>
      </c>
      <c r="F41" s="184"/>
      <c r="G41" s="290"/>
    </row>
    <row r="42" spans="4:7">
      <c r="D42" s="198">
        <v>1319</v>
      </c>
      <c r="F42" s="184"/>
      <c r="G42" s="290"/>
    </row>
    <row r="43" spans="4:7">
      <c r="D43" s="198">
        <v>1321</v>
      </c>
      <c r="F43" s="184"/>
      <c r="G43" s="290"/>
    </row>
    <row r="44" spans="4:7">
      <c r="D44" s="198">
        <v>1323</v>
      </c>
      <c r="F44" s="184"/>
      <c r="G44" s="290"/>
    </row>
    <row r="45" spans="4:7">
      <c r="D45" s="198">
        <v>1324</v>
      </c>
    </row>
    <row r="46" spans="4:7">
      <c r="D46" s="198">
        <v>1325</v>
      </c>
    </row>
    <row r="47" spans="4:7">
      <c r="D47" s="198">
        <v>1326</v>
      </c>
      <c r="F47" s="184"/>
      <c r="G47" s="290"/>
    </row>
    <row r="48" spans="4:7">
      <c r="D48" s="198">
        <v>1337</v>
      </c>
    </row>
    <row r="49" spans="4:7">
      <c r="D49" s="198">
        <v>1338</v>
      </c>
      <c r="F49" s="184"/>
      <c r="G49" s="290"/>
    </row>
    <row r="50" spans="4:7">
      <c r="D50" s="198">
        <v>1339</v>
      </c>
    </row>
    <row r="51" spans="4:7">
      <c r="D51" s="198">
        <v>1340</v>
      </c>
    </row>
    <row r="52" spans="4:7">
      <c r="D52" s="198">
        <v>1402</v>
      </c>
      <c r="F52" s="184"/>
      <c r="G52" s="290"/>
    </row>
    <row r="53" spans="4:7">
      <c r="D53" s="198">
        <v>1410</v>
      </c>
      <c r="F53" s="184"/>
      <c r="G53" s="290"/>
    </row>
    <row r="54" spans="4:7">
      <c r="D54" s="198">
        <v>1413</v>
      </c>
    </row>
    <row r="55" spans="4:7">
      <c r="D55" s="198">
        <v>1414</v>
      </c>
      <c r="F55" s="184"/>
      <c r="G55" s="290"/>
    </row>
    <row r="56" spans="4:7">
      <c r="D56" s="198">
        <v>1416</v>
      </c>
      <c r="F56" s="184"/>
      <c r="G56" s="290"/>
    </row>
    <row r="57" spans="4:7">
      <c r="D57" s="198">
        <v>1417</v>
      </c>
      <c r="F57" s="184"/>
      <c r="G57" s="290"/>
    </row>
    <row r="58" spans="4:7">
      <c r="D58" s="198">
        <v>1418</v>
      </c>
      <c r="F58" s="198"/>
      <c r="G58" s="198"/>
    </row>
    <row r="59" spans="4:7">
      <c r="D59" s="198">
        <v>1419</v>
      </c>
      <c r="F59" s="198"/>
      <c r="G59" s="198"/>
    </row>
    <row r="60" spans="4:7">
      <c r="D60" s="198">
        <v>1423</v>
      </c>
      <c r="F60" s="20"/>
      <c r="G60" s="20"/>
    </row>
    <row r="61" spans="4:7">
      <c r="D61" s="198">
        <v>1432</v>
      </c>
      <c r="F61" s="198"/>
      <c r="G61" s="198"/>
    </row>
    <row r="62" spans="4:7">
      <c r="D62" s="198">
        <v>1434</v>
      </c>
    </row>
    <row r="63" spans="4:7">
      <c r="D63" s="198">
        <v>1436</v>
      </c>
      <c r="F63" s="184"/>
      <c r="G63" s="290"/>
    </row>
    <row r="64" spans="4:7">
      <c r="D64" s="198">
        <v>1437</v>
      </c>
    </row>
    <row r="65" spans="4:9">
      <c r="D65" s="198">
        <v>1438</v>
      </c>
      <c r="F65" s="184"/>
      <c r="G65" s="290"/>
    </row>
    <row r="66" spans="4:9">
      <c r="D66" s="198">
        <v>1439</v>
      </c>
      <c r="F66" s="184"/>
      <c r="G66" s="290"/>
    </row>
    <row r="67" spans="4:9">
      <c r="D67" s="198">
        <v>1440</v>
      </c>
    </row>
    <row r="68" spans="4:9">
      <c r="D68" s="198">
        <v>1441</v>
      </c>
      <c r="F68" s="184"/>
      <c r="G68" s="290"/>
    </row>
    <row r="69" spans="4:9">
      <c r="D69" s="198">
        <v>1442</v>
      </c>
    </row>
    <row r="70" spans="4:9">
      <c r="D70" s="198">
        <v>1443</v>
      </c>
    </row>
    <row r="71" spans="4:9">
      <c r="D71" s="198">
        <v>1444</v>
      </c>
      <c r="F71" s="184"/>
      <c r="G71" s="290"/>
    </row>
    <row r="72" spans="4:9">
      <c r="D72" s="198">
        <v>1445</v>
      </c>
    </row>
    <row r="73" spans="4:9">
      <c r="D73" s="198">
        <v>1446</v>
      </c>
      <c r="F73" s="184"/>
      <c r="G73" s="290"/>
    </row>
    <row r="74" spans="4:9">
      <c r="D74" s="198">
        <v>1447</v>
      </c>
    </row>
    <row r="75" spans="4:9">
      <c r="D75" s="198">
        <v>1449</v>
      </c>
      <c r="F75" s="184"/>
      <c r="G75" s="290"/>
    </row>
    <row r="76" spans="4:9">
      <c r="D76" s="198">
        <v>1451</v>
      </c>
      <c r="F76" s="184"/>
      <c r="G76" s="290"/>
    </row>
    <row r="77" spans="4:9">
      <c r="D77" s="198">
        <v>1452</v>
      </c>
      <c r="F77" s="184"/>
      <c r="G77" s="290"/>
    </row>
    <row r="78" spans="4:9">
      <c r="D78" s="198">
        <v>1453</v>
      </c>
      <c r="F78" s="184"/>
      <c r="G78" s="290"/>
      <c r="I78" s="184"/>
    </row>
    <row r="79" spans="4:9">
      <c r="D79" s="198">
        <v>1454</v>
      </c>
      <c r="F79" s="198"/>
      <c r="G79" s="198"/>
      <c r="I79" s="184"/>
    </row>
    <row r="80" spans="4:9">
      <c r="D80" s="198">
        <v>1455</v>
      </c>
      <c r="I80" s="184"/>
    </row>
    <row r="81" spans="4:9">
      <c r="D81" s="198">
        <v>1456</v>
      </c>
      <c r="F81" s="20"/>
      <c r="G81" s="20"/>
      <c r="I81" s="184"/>
    </row>
    <row r="82" spans="4:9">
      <c r="D82" s="198">
        <v>1457</v>
      </c>
      <c r="F82" s="198"/>
      <c r="G82" s="198"/>
      <c r="I82" s="184"/>
    </row>
    <row r="83" spans="4:9">
      <c r="D83" s="198">
        <v>1459</v>
      </c>
      <c r="F83" s="20"/>
      <c r="G83" s="20"/>
      <c r="I83" s="184"/>
    </row>
    <row r="84" spans="4:9">
      <c r="D84" s="198">
        <v>1460</v>
      </c>
      <c r="I84" s="184"/>
    </row>
    <row r="85" spans="4:9">
      <c r="D85" s="198">
        <v>1463</v>
      </c>
      <c r="F85" s="184"/>
      <c r="G85" s="290"/>
      <c r="I85" s="184"/>
    </row>
    <row r="86" spans="4:9">
      <c r="D86" s="198">
        <v>1464</v>
      </c>
      <c r="F86" s="184"/>
      <c r="G86" s="290"/>
      <c r="I86" s="184"/>
    </row>
    <row r="87" spans="4:9">
      <c r="D87" s="198">
        <v>1465</v>
      </c>
      <c r="F87" s="198"/>
      <c r="G87" s="198"/>
      <c r="I87" s="184"/>
    </row>
    <row r="88" spans="4:9">
      <c r="D88" s="198">
        <v>1466</v>
      </c>
      <c r="I88" s="184"/>
    </row>
    <row r="89" spans="4:9">
      <c r="D89" s="198">
        <v>1467</v>
      </c>
      <c r="F89" s="184"/>
      <c r="G89" s="290"/>
      <c r="I89" s="184"/>
    </row>
    <row r="90" spans="4:9">
      <c r="D90" s="198">
        <v>1468</v>
      </c>
      <c r="F90" s="184"/>
      <c r="G90" s="290"/>
      <c r="I90" s="184"/>
    </row>
    <row r="91" spans="4:9">
      <c r="D91" s="198">
        <v>1469</v>
      </c>
      <c r="F91" s="184"/>
      <c r="G91" s="290"/>
      <c r="I91" s="184"/>
    </row>
    <row r="92" spans="4:9">
      <c r="D92" s="198">
        <v>1470</v>
      </c>
      <c r="F92" s="184"/>
      <c r="G92" s="290"/>
      <c r="I92" s="184"/>
    </row>
    <row r="93" spans="4:9">
      <c r="D93" s="198">
        <v>1471</v>
      </c>
      <c r="I93" s="184"/>
    </row>
    <row r="94" spans="4:9">
      <c r="D94" s="198">
        <v>1472</v>
      </c>
      <c r="F94" s="184"/>
      <c r="G94" s="290"/>
      <c r="I94" s="184"/>
    </row>
    <row r="95" spans="4:9">
      <c r="D95" s="198">
        <v>1473</v>
      </c>
      <c r="I95" s="184"/>
    </row>
    <row r="96" spans="4:9">
      <c r="D96" s="198">
        <v>1474</v>
      </c>
      <c r="F96" s="184"/>
      <c r="G96" s="290"/>
      <c r="I96" s="184"/>
    </row>
    <row r="97" spans="4:9">
      <c r="D97" s="198">
        <v>1475</v>
      </c>
      <c r="F97" s="184"/>
      <c r="G97" s="290"/>
      <c r="I97" s="184"/>
    </row>
    <row r="98" spans="4:9">
      <c r="D98" s="198">
        <v>1476</v>
      </c>
      <c r="F98" s="184"/>
      <c r="G98" s="290"/>
      <c r="I98" s="184"/>
    </row>
    <row r="99" spans="4:9">
      <c r="D99" s="198">
        <v>1477</v>
      </c>
      <c r="I99" s="184"/>
    </row>
    <row r="100" spans="4:9">
      <c r="D100" s="198">
        <v>1503</v>
      </c>
      <c r="F100" s="184"/>
      <c r="G100" s="290"/>
      <c r="I100" s="184"/>
    </row>
    <row r="101" spans="4:9">
      <c r="D101" s="198">
        <v>1504</v>
      </c>
      <c r="F101" s="184"/>
      <c r="G101" s="290"/>
      <c r="I101" s="184"/>
    </row>
    <row r="102" spans="4:9">
      <c r="D102" s="198">
        <v>1506</v>
      </c>
      <c r="F102" s="184"/>
      <c r="G102" s="290"/>
      <c r="I102" s="184"/>
    </row>
    <row r="103" spans="4:9">
      <c r="D103" s="198">
        <v>1507</v>
      </c>
      <c r="F103" s="198"/>
      <c r="G103" s="198"/>
      <c r="I103" s="184"/>
    </row>
    <row r="104" spans="4:9">
      <c r="D104" s="198">
        <v>1512</v>
      </c>
      <c r="F104" s="184"/>
      <c r="G104" s="290"/>
      <c r="I104" s="184"/>
    </row>
    <row r="105" spans="4:9">
      <c r="D105" s="198">
        <v>1513</v>
      </c>
      <c r="I105" s="184"/>
    </row>
    <row r="106" spans="4:9">
      <c r="D106" s="198">
        <v>1514</v>
      </c>
      <c r="F106" s="198"/>
      <c r="G106" s="198"/>
      <c r="I106" s="184"/>
    </row>
    <row r="107" spans="4:9">
      <c r="D107" s="198">
        <v>1515</v>
      </c>
    </row>
    <row r="108" spans="4:9">
      <c r="D108" s="198">
        <v>1516</v>
      </c>
      <c r="F108" s="20"/>
      <c r="G108" s="20"/>
    </row>
    <row r="109" spans="4:9">
      <c r="D109" s="198">
        <v>1517</v>
      </c>
      <c r="F109" s="198"/>
      <c r="G109" s="198"/>
    </row>
    <row r="110" spans="4:9">
      <c r="D110" s="198">
        <v>1519</v>
      </c>
      <c r="F110" s="184"/>
      <c r="G110" s="290"/>
    </row>
    <row r="111" spans="4:9">
      <c r="D111" s="198">
        <v>1521</v>
      </c>
    </row>
    <row r="112" spans="4:9">
      <c r="D112" s="198">
        <v>1522</v>
      </c>
    </row>
    <row r="113" spans="4:7">
      <c r="D113" s="198">
        <v>1524</v>
      </c>
      <c r="F113" s="184"/>
      <c r="G113" s="290"/>
    </row>
    <row r="114" spans="4:7">
      <c r="D114" s="198">
        <v>1525</v>
      </c>
      <c r="F114" s="184"/>
      <c r="G114" s="290"/>
    </row>
    <row r="115" spans="4:7">
      <c r="D115" s="198">
        <v>1526</v>
      </c>
    </row>
    <row r="116" spans="4:7">
      <c r="D116" s="198">
        <v>1527</v>
      </c>
      <c r="F116" s="184"/>
      <c r="G116" s="290"/>
    </row>
    <row r="117" spans="4:7">
      <c r="D117" s="198">
        <v>1528</v>
      </c>
      <c r="F117" s="184"/>
      <c r="G117" s="290"/>
    </row>
    <row r="118" spans="4:7">
      <c r="D118" s="198">
        <v>1529</v>
      </c>
      <c r="F118" s="198"/>
      <c r="G118" s="198"/>
    </row>
    <row r="119" spans="4:7">
      <c r="D119" s="198">
        <v>1530</v>
      </c>
      <c r="F119" s="184"/>
      <c r="G119" s="290"/>
    </row>
    <row r="120" spans="4:7">
      <c r="D120" s="198">
        <v>1531</v>
      </c>
    </row>
    <row r="121" spans="4:7">
      <c r="D121" s="198">
        <v>1532</v>
      </c>
    </row>
    <row r="122" spans="4:7">
      <c r="D122" s="198">
        <v>1533</v>
      </c>
    </row>
    <row r="123" spans="4:7">
      <c r="D123" s="198">
        <v>1535</v>
      </c>
      <c r="F123" s="198"/>
      <c r="G123" s="198"/>
    </row>
    <row r="124" spans="4:7">
      <c r="D124" s="198">
        <v>1536</v>
      </c>
      <c r="F124" s="198"/>
      <c r="G124" s="198"/>
    </row>
    <row r="125" spans="4:7">
      <c r="D125" s="198">
        <v>1537</v>
      </c>
    </row>
    <row r="126" spans="4:7">
      <c r="D126" s="198">
        <v>1538</v>
      </c>
      <c r="F126" s="198"/>
      <c r="G126" s="198"/>
    </row>
    <row r="127" spans="4:7">
      <c r="D127" s="198">
        <v>1539</v>
      </c>
      <c r="F127" s="198"/>
      <c r="G127" s="198"/>
    </row>
    <row r="128" spans="4:7">
      <c r="D128" s="198">
        <v>1540</v>
      </c>
      <c r="F128" s="198"/>
      <c r="G128" s="198"/>
    </row>
    <row r="129" spans="4:7">
      <c r="D129" s="198">
        <v>1541</v>
      </c>
      <c r="F129" s="198"/>
      <c r="G129" s="198"/>
    </row>
    <row r="130" spans="4:7">
      <c r="D130" s="198">
        <v>1558</v>
      </c>
      <c r="F130" s="198"/>
      <c r="G130" s="198"/>
    </row>
    <row r="131" spans="4:7">
      <c r="D131" s="198">
        <v>1560</v>
      </c>
    </row>
    <row r="132" spans="4:7">
      <c r="D132" s="198">
        <v>1568</v>
      </c>
      <c r="F132" s="198"/>
      <c r="G132" s="198"/>
    </row>
    <row r="133" spans="4:7">
      <c r="D133" s="198">
        <v>1582</v>
      </c>
    </row>
    <row r="134" spans="4:7">
      <c r="D134" s="198">
        <v>1583</v>
      </c>
      <c r="F134" s="198"/>
      <c r="G134" s="198"/>
    </row>
    <row r="135" spans="4:7">
      <c r="D135" s="198">
        <v>1589</v>
      </c>
    </row>
    <row r="136" spans="4:7">
      <c r="D136" s="198">
        <v>1590</v>
      </c>
      <c r="F136" s="198"/>
      <c r="G136" s="198"/>
    </row>
    <row r="137" spans="4:7">
      <c r="D137" s="198">
        <v>1592</v>
      </c>
    </row>
    <row r="138" spans="4:7">
      <c r="D138" s="198">
        <v>1603</v>
      </c>
    </row>
    <row r="139" spans="4:7">
      <c r="D139" s="198">
        <v>1604</v>
      </c>
      <c r="F139" s="198"/>
      <c r="G139" s="198"/>
    </row>
    <row r="140" spans="4:7">
      <c r="D140" s="198">
        <v>1605</v>
      </c>
    </row>
    <row r="141" spans="4:7">
      <c r="D141" s="198">
        <v>1608</v>
      </c>
      <c r="F141" s="198"/>
      <c r="G141" s="198"/>
    </row>
    <row r="142" spans="4:7">
      <c r="D142" s="198">
        <v>1609</v>
      </c>
      <c r="F142" s="198"/>
      <c r="G142" s="198"/>
    </row>
    <row r="143" spans="4:7">
      <c r="D143" s="198">
        <v>1611</v>
      </c>
      <c r="F143" s="198"/>
      <c r="G143" s="198"/>
    </row>
    <row r="144" spans="4:7">
      <c r="D144" s="198">
        <v>1612</v>
      </c>
    </row>
    <row r="145" spans="4:7">
      <c r="D145" s="198">
        <v>1613</v>
      </c>
      <c r="F145" s="198"/>
      <c r="G145" s="198"/>
    </row>
    <row r="146" spans="4:7">
      <c r="D146" s="198">
        <v>1614</v>
      </c>
    </row>
    <row r="147" spans="4:7">
      <c r="D147" s="198">
        <v>1615</v>
      </c>
      <c r="F147" s="198"/>
      <c r="G147" s="198"/>
    </row>
    <row r="148" spans="4:7">
      <c r="D148" s="198">
        <v>1616</v>
      </c>
      <c r="F148" s="198"/>
      <c r="G148" s="198"/>
    </row>
    <row r="149" spans="4:7">
      <c r="D149" s="198">
        <v>1617</v>
      </c>
      <c r="F149" s="198"/>
      <c r="G149" s="198"/>
    </row>
    <row r="150" spans="4:7">
      <c r="D150" s="198">
        <v>1618</v>
      </c>
      <c r="F150" s="198"/>
      <c r="G150" s="198"/>
    </row>
    <row r="151" spans="4:7">
      <c r="D151" s="198">
        <v>1626</v>
      </c>
      <c r="F151" s="198"/>
      <c r="G151" s="198"/>
    </row>
    <row r="152" spans="4:7">
      <c r="D152" s="198">
        <v>1701</v>
      </c>
      <c r="F152" s="198"/>
      <c r="G152" s="198"/>
    </row>
    <row r="153" spans="4:7">
      <c r="D153" s="198">
        <v>1702</v>
      </c>
      <c r="F153" s="198"/>
      <c r="G153" s="198"/>
    </row>
    <row r="154" spans="4:7">
      <c r="D154" s="198">
        <v>1704</v>
      </c>
      <c r="F154" s="198"/>
      <c r="G154" s="198"/>
    </row>
    <row r="155" spans="4:7">
      <c r="D155" s="198">
        <v>1707</v>
      </c>
      <c r="F155" s="198"/>
      <c r="G155" s="198"/>
    </row>
    <row r="156" spans="4:7">
      <c r="D156" s="198">
        <v>1708</v>
      </c>
      <c r="F156" s="198"/>
      <c r="G156" s="198"/>
    </row>
    <row r="157" spans="4:7">
      <c r="D157" s="198">
        <v>1709</v>
      </c>
    </row>
    <row r="158" spans="4:7">
      <c r="D158" s="198">
        <v>1710</v>
      </c>
    </row>
    <row r="159" spans="4:7">
      <c r="D159" s="198">
        <v>1711</v>
      </c>
      <c r="F159" s="198"/>
      <c r="G159" s="198"/>
    </row>
    <row r="160" spans="4:7">
      <c r="D160" s="198">
        <v>1712</v>
      </c>
    </row>
    <row r="161" spans="4:7">
      <c r="D161" s="198">
        <v>1713</v>
      </c>
      <c r="F161" s="198"/>
      <c r="G161" s="198"/>
    </row>
    <row r="162" spans="4:7">
      <c r="D162" s="198">
        <v>1714</v>
      </c>
    </row>
    <row r="163" spans="4:7">
      <c r="D163" s="198">
        <v>1715</v>
      </c>
      <c r="F163" s="198"/>
      <c r="G163" s="198"/>
    </row>
    <row r="164" spans="4:7">
      <c r="D164" s="198">
        <v>1717</v>
      </c>
    </row>
    <row r="165" spans="4:7">
      <c r="D165" s="198">
        <v>1720</v>
      </c>
    </row>
    <row r="166" spans="4:7">
      <c r="D166" s="198">
        <v>1721</v>
      </c>
      <c r="F166" s="198"/>
      <c r="G166" s="198"/>
    </row>
    <row r="167" spans="4:7">
      <c r="D167" s="198">
        <v>1722</v>
      </c>
      <c r="F167" s="20"/>
      <c r="G167" s="20"/>
    </row>
    <row r="168" spans="4:7">
      <c r="D168" s="198">
        <v>1723</v>
      </c>
      <c r="F168" s="198"/>
      <c r="G168" s="198"/>
    </row>
    <row r="169" spans="4:7">
      <c r="D169" s="198">
        <v>1724</v>
      </c>
      <c r="F169" s="198"/>
      <c r="G169" s="198"/>
    </row>
    <row r="170" spans="4:7">
      <c r="D170" s="198">
        <v>1725</v>
      </c>
      <c r="F170" s="198"/>
      <c r="G170" s="198"/>
    </row>
    <row r="171" spans="4:7">
      <c r="D171" s="198">
        <v>1726</v>
      </c>
      <c r="F171" s="198"/>
      <c r="G171" s="198"/>
    </row>
    <row r="172" spans="4:7">
      <c r="D172" s="198">
        <v>1727</v>
      </c>
      <c r="F172" s="20"/>
      <c r="G172" s="20"/>
    </row>
    <row r="173" spans="4:7">
      <c r="D173" s="198">
        <v>1729</v>
      </c>
      <c r="F173" s="198"/>
      <c r="G173" s="198"/>
    </row>
    <row r="174" spans="4:7">
      <c r="D174" s="198">
        <v>1730</v>
      </c>
      <c r="F174" s="198"/>
      <c r="G174" s="198"/>
    </row>
    <row r="175" spans="4:7">
      <c r="D175" s="198">
        <v>1731</v>
      </c>
      <c r="F175" s="198"/>
      <c r="G175" s="198"/>
    </row>
    <row r="176" spans="4:7">
      <c r="D176" s="198">
        <v>1732</v>
      </c>
      <c r="F176" s="198"/>
      <c r="G176" s="198"/>
    </row>
    <row r="177" spans="4:7">
      <c r="D177" s="198">
        <v>1733</v>
      </c>
      <c r="F177" s="20"/>
      <c r="G177" s="20"/>
    </row>
    <row r="178" spans="4:7">
      <c r="D178" s="198">
        <v>1734</v>
      </c>
      <c r="F178" s="198"/>
      <c r="G178" s="198"/>
    </row>
    <row r="179" spans="4:7">
      <c r="D179" s="198">
        <v>1735</v>
      </c>
    </row>
    <row r="180" spans="4:7">
      <c r="D180" s="198">
        <v>1736</v>
      </c>
      <c r="F180" s="198"/>
      <c r="G180" s="198"/>
    </row>
    <row r="181" spans="4:7">
      <c r="D181" s="198">
        <v>1737</v>
      </c>
      <c r="F181" s="198"/>
      <c r="G181" s="198"/>
    </row>
    <row r="182" spans="4:7">
      <c r="D182" s="198">
        <v>1762</v>
      </c>
      <c r="F182" s="198"/>
      <c r="G182" s="198"/>
    </row>
    <row r="183" spans="4:7">
      <c r="D183" s="198">
        <v>1773</v>
      </c>
    </row>
    <row r="184" spans="4:7">
      <c r="D184" s="198">
        <v>1783</v>
      </c>
      <c r="F184" s="198"/>
      <c r="G184" s="198"/>
    </row>
    <row r="185" spans="4:7">
      <c r="D185" s="198">
        <v>1786</v>
      </c>
      <c r="F185" s="198"/>
      <c r="G185" s="198"/>
    </row>
    <row r="186" spans="4:7">
      <c r="D186" s="198">
        <v>1789</v>
      </c>
      <c r="F186" s="198"/>
      <c r="G186" s="198"/>
    </row>
    <row r="187" spans="4:7">
      <c r="D187" s="198">
        <v>1802</v>
      </c>
      <c r="F187" s="20"/>
      <c r="G187" s="20"/>
    </row>
    <row r="188" spans="4:7">
      <c r="D188" s="198">
        <v>1805</v>
      </c>
      <c r="F188" s="20"/>
      <c r="G188" s="20"/>
    </row>
    <row r="189" spans="4:7">
      <c r="D189" s="198">
        <v>1806</v>
      </c>
      <c r="F189" s="198"/>
      <c r="G189" s="198"/>
    </row>
    <row r="190" spans="4:7">
      <c r="D190" s="198">
        <v>1808</v>
      </c>
      <c r="F190" s="20"/>
      <c r="G190" s="20"/>
    </row>
    <row r="191" spans="4:7">
      <c r="D191" s="198">
        <v>1809</v>
      </c>
      <c r="F191" s="198"/>
      <c r="G191" s="198"/>
    </row>
    <row r="192" spans="4:7">
      <c r="D192" s="198">
        <v>1810</v>
      </c>
      <c r="F192" s="198"/>
      <c r="G192" s="198"/>
    </row>
    <row r="193" spans="4:7">
      <c r="D193" s="198">
        <v>1817</v>
      </c>
      <c r="F193" s="20"/>
      <c r="G193" s="20"/>
    </row>
    <row r="194" spans="4:7">
      <c r="D194" s="198">
        <v>1902</v>
      </c>
      <c r="F194" s="20"/>
      <c r="G194" s="20"/>
    </row>
    <row r="195" spans="4:7">
      <c r="D195" s="198">
        <v>1903</v>
      </c>
      <c r="F195" s="198"/>
      <c r="G195" s="198"/>
    </row>
    <row r="196" spans="4:7">
      <c r="D196" s="198">
        <v>1904</v>
      </c>
      <c r="F196" s="20"/>
      <c r="G196" s="20"/>
    </row>
    <row r="197" spans="4:7">
      <c r="D197" s="198">
        <v>1905</v>
      </c>
      <c r="F197" s="198"/>
      <c r="G197" s="198"/>
    </row>
    <row r="198" spans="4:7">
      <c r="D198" s="198">
        <v>1906</v>
      </c>
    </row>
    <row r="199" spans="4:7">
      <c r="D199" s="198">
        <v>1907</v>
      </c>
      <c r="F199" s="20"/>
      <c r="G199" s="20"/>
    </row>
    <row r="200" spans="4:7">
      <c r="D200" s="198">
        <v>1909</v>
      </c>
      <c r="F200" s="20"/>
      <c r="G200" s="20"/>
    </row>
    <row r="201" spans="4:7">
      <c r="D201" s="198">
        <v>2002</v>
      </c>
      <c r="F201" s="198"/>
      <c r="G201" s="198"/>
    </row>
    <row r="202" spans="4:7">
      <c r="D202" s="198">
        <v>2006</v>
      </c>
      <c r="F202" s="198"/>
      <c r="G202" s="198"/>
    </row>
    <row r="203" spans="4:7">
      <c r="D203" s="198">
        <v>2007</v>
      </c>
      <c r="F203" s="20"/>
      <c r="G203" s="20"/>
    </row>
    <row r="204" spans="4:7">
      <c r="D204" s="198">
        <v>2008</v>
      </c>
      <c r="F204" s="20"/>
      <c r="G204" s="20"/>
    </row>
    <row r="205" spans="4:7">
      <c r="D205" s="198">
        <v>2009</v>
      </c>
      <c r="F205" s="20"/>
      <c r="G205" s="20"/>
    </row>
    <row r="206" spans="4:7">
      <c r="D206" s="198">
        <v>2010</v>
      </c>
      <c r="F206" s="198"/>
      <c r="G206" s="198"/>
    </row>
    <row r="207" spans="4:7">
      <c r="D207" s="198">
        <v>2012</v>
      </c>
      <c r="F207" s="198"/>
      <c r="G207" s="198"/>
    </row>
    <row r="208" spans="4:7">
      <c r="D208" s="198">
        <v>2013</v>
      </c>
      <c r="F208" s="198"/>
      <c r="G208" s="198"/>
    </row>
    <row r="209" spans="4:7">
      <c r="D209" s="198">
        <v>2014</v>
      </c>
      <c r="F209" s="20"/>
      <c r="G209" s="20"/>
    </row>
    <row r="210" spans="4:7">
      <c r="D210" s="198">
        <v>2015</v>
      </c>
      <c r="F210" s="198"/>
      <c r="G210" s="198"/>
    </row>
    <row r="211" spans="4:7">
      <c r="D211" s="198">
        <v>2017</v>
      </c>
      <c r="F211" s="198"/>
      <c r="G211" s="198"/>
    </row>
    <row r="212" spans="4:7">
      <c r="D212" s="198">
        <v>2020</v>
      </c>
      <c r="F212" s="198"/>
      <c r="G212" s="198"/>
    </row>
    <row r="213" spans="4:7">
      <c r="D213" s="198">
        <v>2022</v>
      </c>
      <c r="F213" s="198"/>
      <c r="G213" s="198"/>
    </row>
    <row r="214" spans="4:7">
      <c r="D214" s="198">
        <v>2023</v>
      </c>
      <c r="F214" s="198"/>
      <c r="G214" s="198"/>
    </row>
    <row r="215" spans="4:7">
      <c r="D215" s="198">
        <v>2024</v>
      </c>
      <c r="F215" s="198"/>
      <c r="G215" s="198"/>
    </row>
    <row r="216" spans="4:7">
      <c r="D216" s="198">
        <v>2025</v>
      </c>
      <c r="F216" s="20"/>
      <c r="G216" s="20"/>
    </row>
    <row r="217" spans="4:7">
      <c r="D217" s="198">
        <v>2027</v>
      </c>
      <c r="F217" s="20"/>
      <c r="G217" s="20"/>
    </row>
    <row r="218" spans="4:7">
      <c r="D218" s="198">
        <v>2028</v>
      </c>
      <c r="F218" s="198"/>
      <c r="G218" s="198"/>
    </row>
    <row r="219" spans="4:7">
      <c r="D219" s="198">
        <v>2029</v>
      </c>
      <c r="F219" s="20"/>
      <c r="G219" s="20"/>
    </row>
    <row r="220" spans="4:7">
      <c r="D220" s="198">
        <v>2030</v>
      </c>
      <c r="F220" s="198"/>
      <c r="G220" s="198"/>
    </row>
    <row r="221" spans="4:7">
      <c r="D221" s="198">
        <v>2031</v>
      </c>
      <c r="F221" s="198"/>
      <c r="G221" s="198"/>
    </row>
    <row r="222" spans="4:7">
      <c r="D222" s="198">
        <v>2032</v>
      </c>
      <c r="F222" s="20"/>
      <c r="G222" s="20"/>
    </row>
    <row r="223" spans="4:7">
      <c r="D223" s="198">
        <v>2033</v>
      </c>
      <c r="F223" s="20"/>
      <c r="G223" s="20"/>
    </row>
    <row r="224" spans="4:7">
      <c r="D224" s="198">
        <v>2034</v>
      </c>
      <c r="F224" s="20"/>
      <c r="G224" s="20"/>
    </row>
    <row r="225" spans="4:7">
      <c r="D225" s="198">
        <v>2038</v>
      </c>
      <c r="F225" s="20"/>
      <c r="G225" s="20"/>
    </row>
    <row r="226" spans="4:7">
      <c r="D226" s="198">
        <v>2049</v>
      </c>
    </row>
    <row r="227" spans="4:7">
      <c r="D227" s="198">
        <v>2059</v>
      </c>
      <c r="F227" s="20"/>
      <c r="G227" s="20"/>
    </row>
    <row r="228" spans="4:7">
      <c r="D228" s="198">
        <v>2062</v>
      </c>
      <c r="F228" s="20"/>
      <c r="G228" s="20"/>
    </row>
    <row r="229" spans="4:7">
      <c r="D229" s="198">
        <v>2101</v>
      </c>
      <c r="F229" s="20"/>
      <c r="G229" s="20"/>
    </row>
    <row r="230" spans="4:7">
      <c r="D230" s="198">
        <v>2102</v>
      </c>
      <c r="F230" s="20"/>
      <c r="G230" s="20"/>
    </row>
    <row r="231" spans="4:7">
      <c r="D231" s="198">
        <v>2103</v>
      </c>
    </row>
    <row r="232" spans="4:7">
      <c r="D232" s="198">
        <v>2104</v>
      </c>
      <c r="F232" s="198"/>
      <c r="G232" s="198"/>
    </row>
    <row r="233" spans="4:7">
      <c r="D233" s="198">
        <v>2105</v>
      </c>
      <c r="F233" s="20"/>
      <c r="G233" s="20"/>
    </row>
    <row r="234" spans="4:7">
      <c r="D234" s="198">
        <v>2106</v>
      </c>
      <c r="F234" s="20"/>
      <c r="G234" s="20"/>
    </row>
    <row r="235" spans="4:7">
      <c r="D235" s="198">
        <v>2107</v>
      </c>
      <c r="F235" s="198"/>
      <c r="G235" s="198"/>
    </row>
    <row r="236" spans="4:7">
      <c r="D236" s="198">
        <v>2108</v>
      </c>
      <c r="F236" s="20"/>
      <c r="G236" s="20"/>
    </row>
    <row r="237" spans="4:7">
      <c r="D237" s="198">
        <v>2109</v>
      </c>
    </row>
    <row r="238" spans="4:7">
      <c r="D238" s="198">
        <v>2114</v>
      </c>
      <c r="F238" s="20"/>
      <c r="G238" s="20"/>
    </row>
    <row r="239" spans="4:7">
      <c r="D239" s="198">
        <v>2115</v>
      </c>
      <c r="F239" s="20"/>
      <c r="G239" s="20"/>
    </row>
    <row r="240" spans="4:7">
      <c r="D240" s="198">
        <v>2201</v>
      </c>
      <c r="F240" s="20"/>
      <c r="G240" s="20"/>
    </row>
    <row r="241" spans="4:7">
      <c r="D241" s="198">
        <v>2204</v>
      </c>
      <c r="F241" s="198"/>
      <c r="G241" s="198"/>
    </row>
    <row r="242" spans="4:7">
      <c r="D242" s="198">
        <v>2206</v>
      </c>
      <c r="F242" s="198"/>
      <c r="G242" s="198"/>
    </row>
    <row r="243" spans="4:7">
      <c r="D243" s="198">
        <v>2207</v>
      </c>
    </row>
    <row r="244" spans="4:7">
      <c r="D244" s="198">
        <v>2208</v>
      </c>
      <c r="F244" s="198"/>
      <c r="G244" s="198"/>
    </row>
    <row r="245" spans="4:7">
      <c r="D245" s="198">
        <v>2227</v>
      </c>
      <c r="F245" s="198"/>
      <c r="G245" s="198"/>
    </row>
    <row r="246" spans="4:7">
      <c r="D246" s="198">
        <v>2228</v>
      </c>
    </row>
    <row r="247" spans="4:7">
      <c r="D247" s="198">
        <v>2231</v>
      </c>
      <c r="F247" s="198"/>
      <c r="G247" s="198"/>
    </row>
    <row r="248" spans="4:7">
      <c r="D248" s="198">
        <v>2236</v>
      </c>
    </row>
    <row r="249" spans="4:7">
      <c r="D249" s="198">
        <v>2301</v>
      </c>
      <c r="F249" s="20"/>
      <c r="G249" s="20"/>
    </row>
    <row r="250" spans="4:7">
      <c r="D250" s="198">
        <v>2302</v>
      </c>
      <c r="F250" s="198"/>
      <c r="G250" s="198"/>
    </row>
    <row r="251" spans="4:7">
      <c r="D251" s="198">
        <v>2303</v>
      </c>
      <c r="F251" s="198"/>
      <c r="G251" s="198"/>
    </row>
    <row r="252" spans="4:7">
      <c r="D252" s="198">
        <v>2305</v>
      </c>
      <c r="F252" s="198"/>
      <c r="G252" s="198"/>
    </row>
    <row r="253" spans="4:7">
      <c r="D253" s="198">
        <v>2308</v>
      </c>
      <c r="F253" s="20"/>
      <c r="G253" s="20"/>
    </row>
    <row r="254" spans="4:7">
      <c r="D254" s="198">
        <v>2311</v>
      </c>
      <c r="F254" s="198"/>
      <c r="G254" s="198"/>
    </row>
    <row r="255" spans="4:7">
      <c r="D255" s="198">
        <v>2312</v>
      </c>
      <c r="F255" s="198"/>
      <c r="G255" s="198"/>
    </row>
    <row r="256" spans="4:7">
      <c r="D256" s="198">
        <v>2313</v>
      </c>
      <c r="F256" s="198"/>
      <c r="G256" s="198"/>
    </row>
    <row r="257" spans="4:7">
      <c r="D257" s="198">
        <v>2314</v>
      </c>
      <c r="F257" s="198"/>
      <c r="G257" s="198"/>
    </row>
    <row r="258" spans="4:7">
      <c r="D258" s="198">
        <v>2316</v>
      </c>
      <c r="F258" s="20"/>
      <c r="G258" s="20"/>
    </row>
    <row r="259" spans="4:7">
      <c r="D259" s="198">
        <v>2317</v>
      </c>
    </row>
    <row r="260" spans="4:7">
      <c r="D260" s="198">
        <v>2321</v>
      </c>
      <c r="F260" s="198"/>
      <c r="G260" s="198"/>
    </row>
    <row r="261" spans="4:7">
      <c r="D261" s="198">
        <v>2323</v>
      </c>
      <c r="F261" s="198"/>
      <c r="G261" s="198"/>
    </row>
    <row r="262" spans="4:7">
      <c r="D262" s="198">
        <v>2324</v>
      </c>
      <c r="F262" s="198"/>
      <c r="G262" s="198"/>
    </row>
    <row r="263" spans="4:7">
      <c r="D263" s="198">
        <v>2325</v>
      </c>
      <c r="F263" s="198"/>
      <c r="G263" s="198"/>
    </row>
    <row r="264" spans="4:7">
      <c r="D264" s="198">
        <v>2327</v>
      </c>
    </row>
    <row r="265" spans="4:7">
      <c r="D265" s="198">
        <v>2328</v>
      </c>
      <c r="F265" s="198"/>
      <c r="G265" s="198"/>
    </row>
    <row r="266" spans="4:7">
      <c r="D266" s="198">
        <v>2329</v>
      </c>
      <c r="F266" s="20"/>
      <c r="G266" s="20"/>
    </row>
    <row r="267" spans="4:7">
      <c r="D267" s="198">
        <v>2330</v>
      </c>
      <c r="F267" s="198"/>
      <c r="G267" s="198"/>
    </row>
    <row r="268" spans="4:7">
      <c r="D268" s="198">
        <v>2331</v>
      </c>
      <c r="F268" s="198"/>
      <c r="G268" s="198"/>
    </row>
    <row r="269" spans="4:7">
      <c r="D269" s="198">
        <v>2332</v>
      </c>
      <c r="F269" s="198"/>
      <c r="G269" s="198"/>
    </row>
    <row r="270" spans="4:7">
      <c r="D270" s="198">
        <v>2337</v>
      </c>
      <c r="F270" s="198"/>
      <c r="G270" s="198"/>
    </row>
    <row r="271" spans="4:7">
      <c r="D271" s="198">
        <v>2338</v>
      </c>
      <c r="F271" s="198"/>
      <c r="G271" s="198"/>
    </row>
    <row r="272" spans="4:7">
      <c r="D272" s="198">
        <v>2340</v>
      </c>
      <c r="F272" s="20"/>
      <c r="G272" s="20"/>
    </row>
    <row r="273" spans="4:7">
      <c r="D273" s="198">
        <v>2342</v>
      </c>
      <c r="F273" s="198"/>
      <c r="G273" s="198"/>
    </row>
    <row r="274" spans="4:7">
      <c r="D274" s="198">
        <v>2344</v>
      </c>
      <c r="F274" s="20"/>
      <c r="G274" s="20"/>
    </row>
    <row r="275" spans="4:7">
      <c r="D275" s="198">
        <v>2345</v>
      </c>
      <c r="F275" s="20"/>
      <c r="G275" s="20"/>
    </row>
    <row r="276" spans="4:7">
      <c r="D276" s="198">
        <v>2347</v>
      </c>
      <c r="F276" s="198"/>
      <c r="G276" s="198"/>
    </row>
    <row r="277" spans="4:7">
      <c r="D277" s="198">
        <v>2348</v>
      </c>
      <c r="F277" s="20"/>
      <c r="G277" s="20"/>
    </row>
    <row r="278" spans="4:7">
      <c r="D278" s="198">
        <v>2349</v>
      </c>
      <c r="F278" s="198"/>
      <c r="G278" s="198"/>
    </row>
    <row r="279" spans="4:7">
      <c r="D279" s="198">
        <v>2351</v>
      </c>
      <c r="F279" s="198"/>
      <c r="G279" s="198"/>
    </row>
    <row r="280" spans="4:7">
      <c r="D280" s="198">
        <v>2352</v>
      </c>
      <c r="F280" s="198"/>
      <c r="G280" s="198"/>
    </row>
    <row r="281" spans="4:7">
      <c r="D281" s="198">
        <v>2353</v>
      </c>
      <c r="F281" s="20"/>
      <c r="G281" s="20"/>
    </row>
    <row r="282" spans="4:7">
      <c r="D282" s="198">
        <v>2354</v>
      </c>
      <c r="F282" s="198"/>
      <c r="G282" s="198"/>
    </row>
    <row r="283" spans="4:7">
      <c r="D283" s="198">
        <v>2355</v>
      </c>
      <c r="F283" s="198"/>
      <c r="G283" s="198"/>
    </row>
    <row r="284" spans="4:7">
      <c r="D284" s="198">
        <v>2356</v>
      </c>
      <c r="F284" s="198"/>
      <c r="G284" s="198"/>
    </row>
    <row r="285" spans="4:7">
      <c r="D285" s="198">
        <v>2357</v>
      </c>
      <c r="F285" s="20"/>
      <c r="G285" s="20"/>
    </row>
    <row r="286" spans="4:7">
      <c r="D286" s="198">
        <v>2358</v>
      </c>
      <c r="F286" s="198"/>
      <c r="G286" s="198"/>
    </row>
    <row r="287" spans="4:7">
      <c r="D287" s="198">
        <v>2359</v>
      </c>
      <c r="F287" s="198"/>
      <c r="G287" s="198"/>
    </row>
    <row r="288" spans="4:7">
      <c r="D288" s="198">
        <v>2360</v>
      </c>
      <c r="F288" s="198"/>
      <c r="G288" s="198"/>
    </row>
    <row r="289" spans="4:7">
      <c r="D289" s="198">
        <v>2361</v>
      </c>
      <c r="F289" s="198"/>
      <c r="G289" s="198"/>
    </row>
    <row r="290" spans="4:7">
      <c r="D290" s="198">
        <v>2362</v>
      </c>
      <c r="F290" s="20"/>
      <c r="G290" s="20"/>
    </row>
    <row r="291" spans="4:7">
      <c r="D291" s="198">
        <v>2363</v>
      </c>
      <c r="F291" s="20"/>
      <c r="G291" s="20"/>
    </row>
    <row r="292" spans="4:7">
      <c r="D292" s="198">
        <v>2364</v>
      </c>
      <c r="F292" s="198"/>
      <c r="G292" s="198"/>
    </row>
    <row r="293" spans="4:7">
      <c r="D293" s="198">
        <v>2365</v>
      </c>
      <c r="F293" s="198"/>
      <c r="G293" s="198"/>
    </row>
    <row r="294" spans="4:7">
      <c r="D294" s="198">
        <v>2367</v>
      </c>
      <c r="F294" s="198"/>
      <c r="G294" s="198"/>
    </row>
    <row r="295" spans="4:7">
      <c r="D295" s="198">
        <v>2368</v>
      </c>
      <c r="F295" s="198"/>
      <c r="G295" s="198"/>
    </row>
    <row r="296" spans="4:7">
      <c r="D296" s="198">
        <v>2369</v>
      </c>
    </row>
    <row r="297" spans="4:7">
      <c r="D297" s="198">
        <v>2371</v>
      </c>
      <c r="F297" s="198"/>
      <c r="G297" s="198"/>
    </row>
    <row r="298" spans="4:7">
      <c r="D298" s="198">
        <v>2373</v>
      </c>
      <c r="F298" s="20"/>
      <c r="G298" s="20"/>
    </row>
    <row r="299" spans="4:7">
      <c r="D299" s="198">
        <v>2374</v>
      </c>
      <c r="F299" s="20"/>
      <c r="G299" s="20"/>
    </row>
    <row r="300" spans="4:7">
      <c r="D300" s="198">
        <v>2375</v>
      </c>
      <c r="F300" s="20"/>
      <c r="G300" s="20"/>
    </row>
    <row r="301" spans="4:7">
      <c r="D301" s="198">
        <v>2376</v>
      </c>
      <c r="F301" s="20"/>
      <c r="G301" s="20"/>
    </row>
    <row r="302" spans="4:7">
      <c r="D302" s="198">
        <v>2377</v>
      </c>
      <c r="F302" s="198"/>
      <c r="G302" s="198"/>
    </row>
    <row r="303" spans="4:7">
      <c r="D303" s="198">
        <v>2379</v>
      </c>
      <c r="F303" s="198"/>
      <c r="G303" s="198"/>
    </row>
    <row r="304" spans="4:7">
      <c r="D304" s="198">
        <v>2380</v>
      </c>
      <c r="F304" s="198"/>
      <c r="G304" s="198"/>
    </row>
    <row r="305" spans="4:7">
      <c r="D305" s="198">
        <v>2382</v>
      </c>
      <c r="F305" s="198"/>
      <c r="G305" s="198"/>
    </row>
    <row r="306" spans="4:7">
      <c r="D306" s="198">
        <v>2383</v>
      </c>
      <c r="F306" s="198"/>
      <c r="G306" s="198"/>
    </row>
    <row r="307" spans="4:7">
      <c r="D307" s="198">
        <v>2385</v>
      </c>
      <c r="F307" s="198"/>
      <c r="G307" s="198"/>
    </row>
    <row r="308" spans="4:7">
      <c r="D308" s="198">
        <v>2387</v>
      </c>
      <c r="F308" s="20"/>
      <c r="G308" s="20"/>
    </row>
    <row r="309" spans="4:7">
      <c r="D309" s="198">
        <v>2388</v>
      </c>
      <c r="F309" s="20"/>
      <c r="G309" s="20"/>
    </row>
    <row r="310" spans="4:7">
      <c r="D310" s="198">
        <v>2390</v>
      </c>
      <c r="F310" s="20"/>
      <c r="G310" s="20"/>
    </row>
    <row r="311" spans="4:7">
      <c r="D311" s="198">
        <v>2392</v>
      </c>
      <c r="F311" s="198"/>
      <c r="G311" s="198"/>
    </row>
    <row r="312" spans="4:7">
      <c r="D312" s="198">
        <v>2393</v>
      </c>
      <c r="F312" s="198"/>
      <c r="G312" s="198"/>
    </row>
    <row r="313" spans="4:7">
      <c r="D313" s="198">
        <v>2395</v>
      </c>
      <c r="F313" s="198"/>
      <c r="G313" s="198"/>
    </row>
    <row r="314" spans="4:7">
      <c r="D314" s="198">
        <v>2397</v>
      </c>
      <c r="F314" s="198"/>
      <c r="G314" s="198"/>
    </row>
    <row r="315" spans="4:7">
      <c r="D315" s="198">
        <v>2399</v>
      </c>
      <c r="F315" s="198"/>
      <c r="G315" s="198"/>
    </row>
    <row r="316" spans="4:7">
      <c r="D316" s="198">
        <v>2401</v>
      </c>
    </row>
    <row r="317" spans="4:7">
      <c r="D317" s="198">
        <v>2402</v>
      </c>
    </row>
    <row r="318" spans="4:7">
      <c r="D318" s="198">
        <v>2404</v>
      </c>
      <c r="F318" s="20"/>
      <c r="G318" s="20"/>
    </row>
    <row r="319" spans="4:7">
      <c r="D319" s="198">
        <v>2405</v>
      </c>
      <c r="F319" s="198"/>
      <c r="G319" s="198"/>
    </row>
    <row r="320" spans="4:7">
      <c r="D320" s="198">
        <v>2406</v>
      </c>
      <c r="F320" s="198"/>
      <c r="G320" s="198"/>
    </row>
    <row r="321" spans="4:7">
      <c r="D321" s="198">
        <v>2408</v>
      </c>
      <c r="F321" s="198"/>
      <c r="G321" s="198"/>
    </row>
    <row r="322" spans="4:7">
      <c r="D322" s="198">
        <v>2409</v>
      </c>
    </row>
    <row r="323" spans="4:7">
      <c r="D323" s="198">
        <v>2412</v>
      </c>
      <c r="F323" s="198"/>
      <c r="G323" s="198"/>
    </row>
    <row r="324" spans="4:7">
      <c r="D324" s="198">
        <v>2413</v>
      </c>
      <c r="F324" s="198"/>
      <c r="G324" s="198"/>
    </row>
    <row r="325" spans="4:7">
      <c r="D325" s="198">
        <v>2414</v>
      </c>
      <c r="F325" s="198"/>
      <c r="G325" s="198"/>
    </row>
    <row r="326" spans="4:7">
      <c r="D326" s="198">
        <v>2415</v>
      </c>
      <c r="F326" s="198"/>
      <c r="G326" s="198"/>
    </row>
    <row r="327" spans="4:7">
      <c r="D327" s="198">
        <v>2417</v>
      </c>
      <c r="F327" s="198"/>
      <c r="G327" s="198"/>
    </row>
    <row r="328" spans="4:7">
      <c r="D328" s="198">
        <v>2419</v>
      </c>
      <c r="F328" s="20"/>
      <c r="G328" s="20"/>
    </row>
    <row r="329" spans="4:7">
      <c r="D329" s="198">
        <v>2420</v>
      </c>
      <c r="F329" s="198"/>
      <c r="G329" s="198"/>
    </row>
    <row r="330" spans="4:7">
      <c r="D330" s="198">
        <v>2421</v>
      </c>
    </row>
    <row r="331" spans="4:7">
      <c r="D331" s="198">
        <v>2423</v>
      </c>
      <c r="F331" s="198"/>
      <c r="G331" s="198"/>
    </row>
    <row r="332" spans="4:7">
      <c r="D332" s="198">
        <v>2424</v>
      </c>
      <c r="F332" s="198"/>
      <c r="G332" s="198"/>
    </row>
    <row r="333" spans="4:7">
      <c r="D333" s="198">
        <v>2425</v>
      </c>
    </row>
    <row r="334" spans="4:7">
      <c r="D334" s="198">
        <v>2426</v>
      </c>
      <c r="F334" s="198"/>
      <c r="G334" s="198"/>
    </row>
    <row r="335" spans="4:7">
      <c r="D335" s="198">
        <v>2427</v>
      </c>
      <c r="F335" s="20"/>
      <c r="G335" s="20"/>
    </row>
    <row r="336" spans="4:7">
      <c r="D336" s="198">
        <v>2428</v>
      </c>
    </row>
    <row r="337" spans="4:7">
      <c r="D337" s="198">
        <v>2429</v>
      </c>
      <c r="F337" s="198"/>
      <c r="G337" s="198"/>
    </row>
    <row r="338" spans="4:7">
      <c r="D338" s="198">
        <v>2430</v>
      </c>
    </row>
    <row r="339" spans="4:7">
      <c r="D339" s="198">
        <v>2431</v>
      </c>
      <c r="F339" s="198"/>
      <c r="G339" s="198"/>
    </row>
    <row r="340" spans="4:7">
      <c r="D340" s="198">
        <v>2433</v>
      </c>
      <c r="F340" s="198"/>
      <c r="G340" s="198"/>
    </row>
    <row r="341" spans="4:7">
      <c r="D341" s="198">
        <v>2434</v>
      </c>
      <c r="F341" s="198"/>
      <c r="G341" s="198"/>
    </row>
    <row r="342" spans="4:7">
      <c r="D342" s="198">
        <v>2436</v>
      </c>
      <c r="F342" s="198"/>
      <c r="G342" s="198"/>
    </row>
    <row r="343" spans="4:7">
      <c r="D343" s="198">
        <v>2437</v>
      </c>
      <c r="F343" s="198"/>
      <c r="G343" s="198"/>
    </row>
    <row r="344" spans="4:7">
      <c r="D344" s="198">
        <v>2438</v>
      </c>
    </row>
    <row r="345" spans="4:7">
      <c r="D345" s="198">
        <v>2439</v>
      </c>
      <c r="F345" s="20"/>
      <c r="G345" s="20"/>
    </row>
    <row r="346" spans="4:7">
      <c r="D346" s="198">
        <v>2440</v>
      </c>
      <c r="F346" s="198"/>
      <c r="G346" s="198"/>
    </row>
    <row r="347" spans="4:7">
      <c r="D347" s="198">
        <v>2441</v>
      </c>
      <c r="F347" s="20"/>
      <c r="G347" s="20"/>
    </row>
    <row r="348" spans="4:7">
      <c r="D348" s="198">
        <v>2442</v>
      </c>
      <c r="F348" s="198"/>
      <c r="G348" s="198"/>
    </row>
    <row r="349" spans="4:7">
      <c r="D349" s="198">
        <v>2443</v>
      </c>
      <c r="F349" s="198"/>
      <c r="G349" s="198"/>
    </row>
    <row r="350" spans="4:7">
      <c r="D350" s="198">
        <v>2444</v>
      </c>
      <c r="F350" s="20"/>
      <c r="G350" s="20"/>
    </row>
    <row r="351" spans="4:7">
      <c r="D351" s="198">
        <v>2448</v>
      </c>
    </row>
    <row r="352" spans="4:7">
      <c r="D352" s="198">
        <v>2449</v>
      </c>
      <c r="F352" s="198"/>
      <c r="G352" s="198"/>
    </row>
    <row r="353" spans="4:7">
      <c r="D353" s="198">
        <v>2450</v>
      </c>
      <c r="F353" s="20"/>
      <c r="G353" s="20"/>
    </row>
    <row r="354" spans="4:7">
      <c r="D354" s="198">
        <v>2451</v>
      </c>
      <c r="F354" s="198"/>
      <c r="G354" s="198"/>
    </row>
    <row r="355" spans="4:7">
      <c r="D355" s="198">
        <v>2453</v>
      </c>
    </row>
    <row r="356" spans="4:7">
      <c r="D356" s="198">
        <v>2454</v>
      </c>
      <c r="F356" s="198"/>
      <c r="G356" s="198"/>
    </row>
    <row r="357" spans="4:7">
      <c r="D357" s="198">
        <v>2455</v>
      </c>
      <c r="F357" s="20"/>
      <c r="G357" s="20"/>
    </row>
    <row r="358" spans="4:7">
      <c r="D358" s="198">
        <v>2456</v>
      </c>
      <c r="F358" s="20"/>
      <c r="G358" s="20"/>
    </row>
    <row r="359" spans="4:7">
      <c r="D359" s="198">
        <v>2457</v>
      </c>
      <c r="F359" s="20"/>
      <c r="G359" s="20"/>
    </row>
    <row r="360" spans="4:7">
      <c r="D360" s="198">
        <v>2458</v>
      </c>
      <c r="F360" s="198"/>
      <c r="G360" s="198"/>
    </row>
    <row r="361" spans="4:7">
      <c r="D361" s="198">
        <v>2459</v>
      </c>
      <c r="F361" s="20"/>
      <c r="G361" s="20"/>
    </row>
    <row r="362" spans="4:7">
      <c r="D362" s="198">
        <v>2460</v>
      </c>
      <c r="F362" s="198"/>
      <c r="G362" s="198"/>
    </row>
    <row r="363" spans="4:7">
      <c r="D363" s="198">
        <v>2461</v>
      </c>
      <c r="F363" s="20"/>
      <c r="G363" s="20"/>
    </row>
    <row r="364" spans="4:7">
      <c r="D364" s="198">
        <v>2462</v>
      </c>
      <c r="F364" s="20"/>
      <c r="G364" s="20"/>
    </row>
    <row r="365" spans="4:7">
      <c r="D365" s="198">
        <v>2464</v>
      </c>
      <c r="F365" s="198"/>
      <c r="G365" s="198"/>
    </row>
    <row r="366" spans="4:7">
      <c r="D366" s="198">
        <v>2465</v>
      </c>
      <c r="F366" s="198"/>
      <c r="G366" s="198"/>
    </row>
    <row r="367" spans="4:7">
      <c r="D367" s="198">
        <v>2466</v>
      </c>
      <c r="F367" s="198"/>
      <c r="G367" s="198"/>
    </row>
    <row r="368" spans="4:7">
      <c r="D368" s="198">
        <v>2467</v>
      </c>
      <c r="F368" s="198"/>
      <c r="G368" s="198"/>
    </row>
    <row r="369" spans="4:7">
      <c r="D369" s="198">
        <v>2468</v>
      </c>
      <c r="F369" s="20"/>
      <c r="G369" s="20"/>
    </row>
    <row r="370" spans="4:7">
      <c r="D370" s="198">
        <v>2471</v>
      </c>
      <c r="F370" s="198"/>
      <c r="G370" s="198"/>
    </row>
    <row r="371" spans="4:7">
      <c r="D371" s="198">
        <v>2472</v>
      </c>
      <c r="F371" s="198"/>
      <c r="G371" s="198"/>
    </row>
    <row r="372" spans="4:7">
      <c r="D372" s="198">
        <v>2474</v>
      </c>
    </row>
    <row r="373" spans="4:7">
      <c r="D373" s="198">
        <v>2475</v>
      </c>
      <c r="F373" s="20"/>
      <c r="G373" s="20"/>
    </row>
    <row r="374" spans="4:7">
      <c r="D374" s="198">
        <v>2476</v>
      </c>
      <c r="F374" s="198"/>
      <c r="G374" s="198"/>
    </row>
    <row r="375" spans="4:7">
      <c r="D375" s="198">
        <v>2477</v>
      </c>
      <c r="F375" s="20"/>
      <c r="G375" s="20"/>
    </row>
    <row r="376" spans="4:7">
      <c r="D376" s="198">
        <v>2478</v>
      </c>
      <c r="F376" s="198"/>
      <c r="G376" s="198"/>
    </row>
    <row r="377" spans="4:7">
      <c r="D377" s="198">
        <v>2480</v>
      </c>
    </row>
    <row r="378" spans="4:7">
      <c r="D378" s="198">
        <v>2481</v>
      </c>
      <c r="F378" s="198"/>
      <c r="G378" s="198"/>
    </row>
    <row r="379" spans="4:7">
      <c r="D379" s="198">
        <v>2482</v>
      </c>
      <c r="F379" s="198"/>
      <c r="G379" s="198"/>
    </row>
    <row r="380" spans="4:7">
      <c r="D380" s="198">
        <v>2483</v>
      </c>
      <c r="F380" s="198"/>
      <c r="G380" s="198"/>
    </row>
    <row r="381" spans="4:7">
      <c r="D381" s="198">
        <v>2484</v>
      </c>
      <c r="F381" s="198"/>
      <c r="G381" s="198"/>
    </row>
    <row r="382" spans="4:7">
      <c r="D382" s="198">
        <v>2485</v>
      </c>
      <c r="F382" s="20"/>
      <c r="G382" s="20"/>
    </row>
    <row r="383" spans="4:7">
      <c r="D383" s="198">
        <v>2486</v>
      </c>
    </row>
    <row r="384" spans="4:7">
      <c r="D384" s="198">
        <v>2488</v>
      </c>
      <c r="F384" s="20"/>
      <c r="G384" s="20"/>
    </row>
    <row r="385" spans="4:7">
      <c r="D385" s="198">
        <v>2489</v>
      </c>
      <c r="F385" s="20"/>
      <c r="G385" s="20"/>
    </row>
    <row r="386" spans="4:7">
      <c r="D386" s="198">
        <v>2491</v>
      </c>
      <c r="F386" s="198"/>
      <c r="G386" s="198"/>
    </row>
    <row r="387" spans="4:7">
      <c r="D387" s="198">
        <v>2492</v>
      </c>
      <c r="F387" s="198"/>
      <c r="G387" s="198"/>
    </row>
    <row r="388" spans="4:7">
      <c r="D388" s="198">
        <v>2493</v>
      </c>
      <c r="F388" s="198"/>
      <c r="G388" s="198"/>
    </row>
    <row r="389" spans="4:7">
      <c r="D389" s="198">
        <v>2495</v>
      </c>
      <c r="F389" s="198"/>
      <c r="G389" s="198"/>
    </row>
    <row r="390" spans="4:7">
      <c r="D390" s="198">
        <v>2496</v>
      </c>
      <c r="F390" s="198"/>
      <c r="G390" s="198"/>
    </row>
    <row r="391" spans="4:7">
      <c r="D391" s="198">
        <v>2497</v>
      </c>
      <c r="F391" s="198"/>
      <c r="G391" s="198"/>
    </row>
    <row r="392" spans="4:7">
      <c r="D392" s="198">
        <v>2498</v>
      </c>
      <c r="F392" s="20"/>
      <c r="G392" s="20"/>
    </row>
    <row r="393" spans="4:7">
      <c r="D393" s="198">
        <v>2499</v>
      </c>
      <c r="F393" s="198"/>
      <c r="G393" s="198"/>
    </row>
    <row r="394" spans="4:7">
      <c r="D394" s="198">
        <v>2601</v>
      </c>
      <c r="F394" s="20"/>
      <c r="G394" s="20"/>
    </row>
    <row r="395" spans="4:7">
      <c r="D395" s="198">
        <v>2603</v>
      </c>
      <c r="F395" s="198"/>
      <c r="G395" s="198"/>
    </row>
    <row r="396" spans="4:7">
      <c r="D396" s="198">
        <v>2605</v>
      </c>
      <c r="F396" s="198"/>
      <c r="G396" s="198"/>
    </row>
    <row r="397" spans="4:7">
      <c r="D397" s="198">
        <v>2606</v>
      </c>
      <c r="F397" s="198"/>
      <c r="G397" s="198"/>
    </row>
    <row r="398" spans="4:7">
      <c r="D398" s="198">
        <v>2607</v>
      </c>
      <c r="F398" s="198"/>
      <c r="G398" s="198"/>
    </row>
    <row r="399" spans="4:7">
      <c r="D399" s="198">
        <v>2608</v>
      </c>
      <c r="F399" s="20"/>
      <c r="G399" s="20"/>
    </row>
    <row r="400" spans="4:7">
      <c r="D400" s="198">
        <v>2609</v>
      </c>
      <c r="F400" s="198"/>
      <c r="G400" s="198"/>
    </row>
    <row r="401" spans="4:8">
      <c r="D401" s="198">
        <v>2610</v>
      </c>
      <c r="H401" s="184"/>
    </row>
    <row r="402" spans="4:8">
      <c r="D402" s="198">
        <v>2611</v>
      </c>
      <c r="F402" s="20"/>
      <c r="G402" s="20"/>
      <c r="H402" s="184"/>
    </row>
    <row r="403" spans="4:8">
      <c r="D403" s="198">
        <v>2612</v>
      </c>
      <c r="F403" s="20"/>
      <c r="G403" s="20"/>
      <c r="H403" s="184"/>
    </row>
    <row r="404" spans="4:8">
      <c r="D404" s="198">
        <v>2613</v>
      </c>
      <c r="F404" s="198"/>
      <c r="G404" s="198"/>
      <c r="H404" s="184"/>
    </row>
    <row r="405" spans="4:8">
      <c r="D405" s="198">
        <v>2614</v>
      </c>
      <c r="F405" s="20"/>
      <c r="G405" s="20"/>
      <c r="H405" s="184"/>
    </row>
    <row r="406" spans="4:8">
      <c r="D406" s="198">
        <v>2615</v>
      </c>
      <c r="F406" s="198"/>
      <c r="G406" s="198"/>
      <c r="H406" s="184"/>
    </row>
    <row r="407" spans="4:8">
      <c r="D407" s="198">
        <v>2616</v>
      </c>
      <c r="F407" s="20"/>
      <c r="G407" s="20"/>
      <c r="H407" s="184"/>
    </row>
    <row r="408" spans="4:8">
      <c r="D408" s="198">
        <v>2617</v>
      </c>
      <c r="F408" s="198"/>
      <c r="G408" s="198"/>
      <c r="H408" s="184"/>
    </row>
    <row r="409" spans="4:8">
      <c r="D409" s="198">
        <v>2618</v>
      </c>
      <c r="F409" s="20"/>
      <c r="G409" s="20"/>
      <c r="H409" s="184"/>
    </row>
    <row r="410" spans="4:8">
      <c r="D410" s="198">
        <v>2634</v>
      </c>
      <c r="F410" s="198"/>
      <c r="G410" s="198"/>
      <c r="H410" s="184"/>
    </row>
    <row r="411" spans="4:8">
      <c r="D411" s="198">
        <v>2637</v>
      </c>
      <c r="F411" s="20"/>
      <c r="G411" s="20"/>
      <c r="H411" s="184"/>
    </row>
    <row r="412" spans="4:8">
      <c r="D412" s="198">
        <v>2642</v>
      </c>
      <c r="F412" s="20"/>
      <c r="G412" s="20"/>
      <c r="H412" s="184"/>
    </row>
    <row r="413" spans="4:8">
      <c r="D413" s="198">
        <v>2701</v>
      </c>
      <c r="F413" s="198"/>
      <c r="G413" s="198"/>
      <c r="H413" s="184"/>
    </row>
    <row r="414" spans="4:8">
      <c r="D414" s="198">
        <v>2702</v>
      </c>
      <c r="F414" s="198"/>
      <c r="G414" s="198"/>
      <c r="H414" s="184"/>
    </row>
    <row r="415" spans="4:8">
      <c r="D415" s="198">
        <v>2704</v>
      </c>
      <c r="H415" s="184"/>
    </row>
    <row r="416" spans="4:8">
      <c r="D416" s="198">
        <v>2705</v>
      </c>
      <c r="F416" s="198"/>
      <c r="G416" s="198"/>
      <c r="H416" s="184"/>
    </row>
    <row r="417" spans="4:8">
      <c r="D417" s="198">
        <v>2706</v>
      </c>
      <c r="F417" s="198"/>
      <c r="G417" s="198"/>
      <c r="H417" s="184"/>
    </row>
    <row r="418" spans="4:8">
      <c r="D418" s="198">
        <v>2707</v>
      </c>
      <c r="F418" s="198"/>
      <c r="G418" s="198"/>
      <c r="H418" s="184"/>
    </row>
    <row r="419" spans="4:8">
      <c r="D419" s="198">
        <v>2712</v>
      </c>
      <c r="F419" s="20"/>
      <c r="G419" s="20"/>
      <c r="H419" s="184"/>
    </row>
    <row r="420" spans="4:8">
      <c r="D420" s="198">
        <v>2722</v>
      </c>
      <c r="F420" s="198"/>
      <c r="G420" s="198"/>
      <c r="H420" s="184"/>
    </row>
    <row r="421" spans="4:8">
      <c r="D421" s="198">
        <v>2723</v>
      </c>
      <c r="F421" s="198"/>
      <c r="G421" s="198"/>
      <c r="H421" s="184"/>
    </row>
    <row r="422" spans="4:8">
      <c r="D422" s="198">
        <v>2727</v>
      </c>
      <c r="F422" s="198"/>
      <c r="G422" s="198"/>
      <c r="H422" s="184"/>
    </row>
    <row r="423" spans="4:8">
      <c r="D423" s="198">
        <v>2731</v>
      </c>
      <c r="H423" s="184"/>
    </row>
    <row r="424" spans="4:8">
      <c r="D424" s="198">
        <v>2841</v>
      </c>
      <c r="F424" s="198"/>
      <c r="G424" s="198"/>
      <c r="H424" s="184"/>
    </row>
    <row r="425" spans="4:8">
      <c r="D425" s="198">
        <v>2901</v>
      </c>
      <c r="H425" s="184"/>
    </row>
    <row r="426" spans="4:8">
      <c r="D426" s="198">
        <v>2903</v>
      </c>
      <c r="F426" s="20"/>
      <c r="G426" s="20"/>
      <c r="H426" s="184"/>
    </row>
    <row r="427" spans="4:8">
      <c r="D427" s="198">
        <v>2904</v>
      </c>
      <c r="F427" s="20"/>
      <c r="G427" s="20"/>
      <c r="H427" s="184"/>
    </row>
    <row r="428" spans="4:8">
      <c r="D428" s="198">
        <v>2906</v>
      </c>
      <c r="F428" s="198"/>
      <c r="G428" s="198"/>
      <c r="H428" s="184"/>
    </row>
    <row r="429" spans="4:8">
      <c r="D429" s="198">
        <v>2908</v>
      </c>
      <c r="F429" s="198"/>
      <c r="G429" s="198"/>
      <c r="H429" s="184"/>
    </row>
    <row r="430" spans="4:8">
      <c r="D430" s="198">
        <v>2910</v>
      </c>
      <c r="F430" s="20"/>
      <c r="G430" s="20"/>
      <c r="H430" s="184"/>
    </row>
    <row r="431" spans="4:8">
      <c r="D431" s="198">
        <v>2911</v>
      </c>
      <c r="F431" s="20"/>
      <c r="G431" s="20"/>
      <c r="H431" s="184"/>
    </row>
    <row r="432" spans="4:8">
      <c r="D432" s="198">
        <v>2912</v>
      </c>
      <c r="F432" s="198"/>
      <c r="G432" s="198"/>
      <c r="H432" s="184"/>
    </row>
    <row r="433" spans="4:8">
      <c r="D433" s="198">
        <v>2913</v>
      </c>
      <c r="F433" s="20"/>
      <c r="G433" s="20"/>
      <c r="H433" s="184"/>
    </row>
    <row r="434" spans="4:8">
      <c r="D434" s="198">
        <v>2915</v>
      </c>
      <c r="H434" s="184"/>
    </row>
    <row r="435" spans="4:8">
      <c r="D435" s="198">
        <v>2923</v>
      </c>
      <c r="F435" s="198"/>
      <c r="G435" s="198"/>
      <c r="H435" s="184"/>
    </row>
    <row r="436" spans="4:8">
      <c r="D436" s="198">
        <v>2929</v>
      </c>
      <c r="F436" s="198"/>
      <c r="G436" s="198"/>
      <c r="H436" s="184"/>
    </row>
    <row r="437" spans="4:8">
      <c r="D437" s="198">
        <v>3002</v>
      </c>
      <c r="F437" s="20"/>
      <c r="G437" s="20"/>
      <c r="H437" s="184"/>
    </row>
    <row r="438" spans="4:8">
      <c r="D438" s="198">
        <v>3003</v>
      </c>
      <c r="F438" s="198"/>
      <c r="G438" s="198"/>
      <c r="H438" s="184"/>
    </row>
    <row r="439" spans="4:8">
      <c r="D439" s="198">
        <v>3004</v>
      </c>
      <c r="H439" s="184"/>
    </row>
    <row r="440" spans="4:8">
      <c r="D440" s="198">
        <v>3005</v>
      </c>
      <c r="F440" s="20"/>
      <c r="G440" s="20"/>
      <c r="H440" s="184"/>
    </row>
    <row r="441" spans="4:8">
      <c r="D441" s="198">
        <v>3006</v>
      </c>
      <c r="F441" s="198"/>
      <c r="G441" s="198"/>
      <c r="H441" s="184"/>
    </row>
    <row r="442" spans="4:8">
      <c r="D442" s="198">
        <v>3008</v>
      </c>
      <c r="F442" s="198"/>
      <c r="G442" s="198"/>
      <c r="H442" s="184"/>
    </row>
    <row r="443" spans="4:8">
      <c r="D443" s="198">
        <v>3010</v>
      </c>
      <c r="F443" s="20"/>
      <c r="G443" s="20"/>
      <c r="H443" s="184"/>
    </row>
    <row r="444" spans="4:8">
      <c r="D444" s="198">
        <v>3011</v>
      </c>
      <c r="F444" s="198"/>
      <c r="G444" s="198"/>
      <c r="H444" s="184"/>
    </row>
    <row r="445" spans="4:8">
      <c r="D445" s="198">
        <v>3013</v>
      </c>
      <c r="F445" s="198"/>
      <c r="G445" s="198"/>
      <c r="H445" s="184"/>
    </row>
    <row r="446" spans="4:8">
      <c r="D446" s="198">
        <v>3014</v>
      </c>
      <c r="F446" s="198"/>
      <c r="G446" s="198"/>
      <c r="H446" s="184"/>
    </row>
    <row r="447" spans="4:8">
      <c r="D447" s="198">
        <v>3015</v>
      </c>
      <c r="F447" s="198"/>
      <c r="G447" s="198"/>
      <c r="H447" s="184"/>
    </row>
    <row r="448" spans="4:8">
      <c r="D448" s="198">
        <v>3016</v>
      </c>
      <c r="F448" s="20"/>
      <c r="G448" s="20"/>
      <c r="H448" s="184"/>
    </row>
    <row r="449" spans="4:8">
      <c r="D449" s="198">
        <v>3017</v>
      </c>
      <c r="F449" s="198"/>
      <c r="G449" s="198"/>
      <c r="H449" s="184"/>
    </row>
    <row r="450" spans="4:8">
      <c r="D450" s="198">
        <v>3018</v>
      </c>
      <c r="F450" s="20"/>
      <c r="G450" s="20"/>
      <c r="H450" s="184"/>
    </row>
    <row r="451" spans="4:8">
      <c r="D451" s="198">
        <v>3019</v>
      </c>
      <c r="H451" s="184"/>
    </row>
    <row r="452" spans="4:8">
      <c r="D452" s="198">
        <v>3021</v>
      </c>
      <c r="F452" s="198"/>
      <c r="G452" s="198"/>
      <c r="H452" s="184"/>
    </row>
    <row r="453" spans="4:8">
      <c r="D453" s="198">
        <v>3022</v>
      </c>
      <c r="F453" s="20"/>
      <c r="G453" s="20"/>
      <c r="H453" s="184"/>
    </row>
    <row r="454" spans="4:8">
      <c r="D454" s="198">
        <v>3023</v>
      </c>
      <c r="H454" s="184"/>
    </row>
    <row r="455" spans="4:8">
      <c r="D455" s="198">
        <v>3024</v>
      </c>
      <c r="F455" s="198"/>
      <c r="G455" s="198"/>
      <c r="H455" s="184"/>
    </row>
    <row r="456" spans="4:8">
      <c r="D456" s="198">
        <v>3025</v>
      </c>
      <c r="F456" s="198"/>
      <c r="G456" s="198"/>
      <c r="H456" s="184"/>
    </row>
    <row r="457" spans="4:8">
      <c r="D457" s="198">
        <v>3026</v>
      </c>
      <c r="F457" s="198"/>
      <c r="G457" s="198"/>
      <c r="H457" s="184"/>
    </row>
    <row r="458" spans="4:8">
      <c r="D458" s="198">
        <v>3027</v>
      </c>
      <c r="F458" s="198"/>
      <c r="G458" s="198"/>
      <c r="H458" s="184"/>
    </row>
    <row r="459" spans="4:8">
      <c r="D459" s="198">
        <v>3028</v>
      </c>
      <c r="F459" s="20"/>
      <c r="G459" s="20"/>
      <c r="H459" s="184"/>
    </row>
    <row r="460" spans="4:8">
      <c r="D460" s="198">
        <v>3029</v>
      </c>
      <c r="F460" s="198"/>
      <c r="G460" s="198"/>
      <c r="H460" s="184"/>
    </row>
    <row r="461" spans="4:8">
      <c r="D461" s="198">
        <v>3030</v>
      </c>
      <c r="F461" s="20"/>
      <c r="G461" s="20"/>
      <c r="H461" s="184"/>
    </row>
    <row r="462" spans="4:8">
      <c r="D462" s="198">
        <v>3031</v>
      </c>
      <c r="H462" s="184"/>
    </row>
    <row r="463" spans="4:8">
      <c r="D463" s="198">
        <v>3032</v>
      </c>
      <c r="F463" s="198"/>
      <c r="G463" s="198"/>
      <c r="H463" s="184"/>
    </row>
    <row r="464" spans="4:8">
      <c r="D464" s="198">
        <v>3033</v>
      </c>
      <c r="F464" s="20"/>
      <c r="G464" s="20"/>
      <c r="H464" s="184"/>
    </row>
    <row r="465" spans="4:8">
      <c r="D465" s="198">
        <v>3034</v>
      </c>
      <c r="F465" s="198"/>
      <c r="G465" s="198"/>
      <c r="H465" s="184"/>
    </row>
    <row r="466" spans="4:8">
      <c r="D466" s="198">
        <v>3035</v>
      </c>
      <c r="F466" s="198"/>
      <c r="G466" s="198"/>
      <c r="H466" s="184"/>
    </row>
    <row r="467" spans="4:8">
      <c r="D467" s="198">
        <v>3036</v>
      </c>
      <c r="H467" s="184"/>
    </row>
    <row r="468" spans="4:8">
      <c r="D468" s="198">
        <v>3037</v>
      </c>
      <c r="F468" s="20"/>
      <c r="G468" s="20"/>
      <c r="H468" s="184"/>
    </row>
    <row r="469" spans="4:8">
      <c r="D469" s="198">
        <v>3038</v>
      </c>
      <c r="F469" s="198"/>
      <c r="G469" s="198"/>
      <c r="H469" s="184"/>
    </row>
    <row r="470" spans="4:8">
      <c r="D470" s="198">
        <v>3040</v>
      </c>
      <c r="F470" s="198"/>
      <c r="G470" s="198"/>
      <c r="H470" s="184"/>
    </row>
    <row r="471" spans="4:8">
      <c r="D471" s="198">
        <v>3041</v>
      </c>
      <c r="F471" s="198"/>
      <c r="G471" s="198"/>
      <c r="H471" s="184"/>
    </row>
    <row r="472" spans="4:8">
      <c r="D472" s="198">
        <v>3042</v>
      </c>
      <c r="F472" s="198"/>
      <c r="G472" s="198"/>
      <c r="H472" s="184"/>
    </row>
    <row r="473" spans="4:8">
      <c r="D473" s="198">
        <v>3043</v>
      </c>
      <c r="F473" s="198"/>
      <c r="G473" s="198"/>
      <c r="H473" s="184"/>
    </row>
    <row r="474" spans="4:8">
      <c r="D474" s="198">
        <v>3044</v>
      </c>
      <c r="F474" s="198"/>
      <c r="G474" s="198"/>
      <c r="H474" s="184"/>
    </row>
    <row r="475" spans="4:8">
      <c r="D475" s="198">
        <v>3045</v>
      </c>
      <c r="F475" s="198"/>
      <c r="G475" s="198"/>
      <c r="H475" s="184"/>
    </row>
    <row r="476" spans="4:8">
      <c r="D476" s="198">
        <v>3046</v>
      </c>
      <c r="F476" s="198"/>
      <c r="G476" s="198"/>
      <c r="H476" s="184"/>
    </row>
    <row r="477" spans="4:8">
      <c r="D477" s="198">
        <v>3047</v>
      </c>
      <c r="F477" s="20"/>
      <c r="G477" s="20"/>
      <c r="H477" s="184"/>
    </row>
    <row r="478" spans="4:8">
      <c r="D478" s="198">
        <v>3048</v>
      </c>
      <c r="F478" s="184"/>
      <c r="G478" s="290"/>
      <c r="H478" s="184"/>
    </row>
    <row r="479" spans="4:8">
      <c r="D479" s="198">
        <v>3049</v>
      </c>
      <c r="F479" s="20"/>
      <c r="G479" s="20"/>
      <c r="H479" s="184"/>
    </row>
    <row r="480" spans="4:8">
      <c r="D480" s="198">
        <v>3050</v>
      </c>
      <c r="F480" s="198"/>
      <c r="G480" s="198"/>
      <c r="H480" s="184"/>
    </row>
    <row r="481" spans="4:8">
      <c r="D481" s="198">
        <v>3051</v>
      </c>
      <c r="F481" s="20"/>
      <c r="G481" s="20"/>
      <c r="H481" s="184"/>
    </row>
    <row r="482" spans="4:8">
      <c r="D482" s="198">
        <v>3052</v>
      </c>
      <c r="F482" s="198"/>
      <c r="G482" s="198"/>
      <c r="H482" s="184"/>
    </row>
    <row r="483" spans="4:8">
      <c r="D483" s="198">
        <v>3054</v>
      </c>
      <c r="F483" s="198"/>
      <c r="G483" s="198"/>
      <c r="H483" s="184"/>
    </row>
    <row r="484" spans="4:8">
      <c r="D484" s="198">
        <v>3055</v>
      </c>
      <c r="F484" s="198"/>
      <c r="G484" s="198"/>
      <c r="H484" s="184"/>
    </row>
    <row r="485" spans="4:8">
      <c r="D485" s="198">
        <v>3056</v>
      </c>
      <c r="F485" s="198"/>
      <c r="G485" s="198"/>
      <c r="H485" s="184"/>
    </row>
    <row r="486" spans="4:8">
      <c r="D486" s="198">
        <v>3057</v>
      </c>
      <c r="F486" s="20"/>
      <c r="G486" s="20"/>
      <c r="H486" s="184"/>
    </row>
    <row r="487" spans="4:8">
      <c r="D487" s="198">
        <v>3058</v>
      </c>
      <c r="F487" s="20"/>
      <c r="G487" s="20"/>
      <c r="H487" s="184"/>
    </row>
    <row r="488" spans="4:8">
      <c r="D488" s="198">
        <v>3059</v>
      </c>
      <c r="F488" s="20"/>
      <c r="G488" s="20"/>
      <c r="H488" s="184"/>
    </row>
    <row r="489" spans="4:8">
      <c r="D489" s="198">
        <v>3060</v>
      </c>
      <c r="H489" s="184"/>
    </row>
    <row r="490" spans="4:8">
      <c r="D490" s="198">
        <v>3062</v>
      </c>
      <c r="F490" s="184"/>
      <c r="G490" s="290"/>
      <c r="H490" s="184"/>
    </row>
    <row r="491" spans="4:8">
      <c r="D491" s="198">
        <v>3090</v>
      </c>
      <c r="F491" s="20"/>
      <c r="G491" s="20"/>
      <c r="H491" s="184"/>
    </row>
    <row r="492" spans="4:8">
      <c r="D492" s="198">
        <v>3094</v>
      </c>
      <c r="F492" s="184"/>
      <c r="G492" s="290"/>
      <c r="H492" s="184"/>
    </row>
    <row r="493" spans="4:8">
      <c r="D493" s="198">
        <v>3130</v>
      </c>
      <c r="F493" s="184"/>
      <c r="G493" s="290"/>
      <c r="H493" s="184"/>
    </row>
    <row r="494" spans="4:8">
      <c r="D494" s="198">
        <v>3149</v>
      </c>
      <c r="F494" s="198"/>
      <c r="G494" s="198"/>
      <c r="H494" s="184"/>
    </row>
    <row r="495" spans="4:8">
      <c r="D495" s="198">
        <v>3164</v>
      </c>
      <c r="F495" s="198"/>
      <c r="G495" s="198"/>
      <c r="H495" s="184"/>
    </row>
    <row r="496" spans="4:8">
      <c r="D496" s="198">
        <v>3167</v>
      </c>
      <c r="F496" s="198"/>
      <c r="G496" s="198"/>
      <c r="H496" s="184"/>
    </row>
    <row r="497" spans="4:8">
      <c r="D497" s="198">
        <v>3189</v>
      </c>
      <c r="F497" s="184"/>
      <c r="G497" s="290"/>
      <c r="H497" s="184"/>
    </row>
    <row r="498" spans="4:8">
      <c r="D498" s="198">
        <v>3209</v>
      </c>
      <c r="F498" s="198"/>
      <c r="G498" s="198"/>
      <c r="H498" s="184"/>
    </row>
    <row r="499" spans="4:8">
      <c r="D499" s="198">
        <v>3229</v>
      </c>
      <c r="F499" s="198"/>
      <c r="G499" s="198"/>
      <c r="H499" s="184"/>
    </row>
    <row r="500" spans="4:8">
      <c r="D500" s="198">
        <v>3231</v>
      </c>
      <c r="F500" s="198"/>
      <c r="G500" s="198"/>
      <c r="H500" s="184"/>
    </row>
    <row r="501" spans="4:8">
      <c r="D501" s="198">
        <v>3257</v>
      </c>
      <c r="F501" s="198"/>
      <c r="G501" s="198"/>
      <c r="H501" s="184"/>
    </row>
    <row r="502" spans="4:8">
      <c r="D502" s="198">
        <v>3266</v>
      </c>
      <c r="F502" s="20"/>
      <c r="G502" s="20"/>
      <c r="H502" s="184"/>
    </row>
    <row r="503" spans="4:8">
      <c r="D503" s="198">
        <v>3296</v>
      </c>
      <c r="F503" s="198"/>
      <c r="G503" s="198"/>
      <c r="H503" s="184"/>
    </row>
    <row r="504" spans="4:8">
      <c r="D504" s="198">
        <v>3305</v>
      </c>
      <c r="H504" s="184"/>
    </row>
    <row r="505" spans="4:8">
      <c r="D505" s="198">
        <v>3308</v>
      </c>
      <c r="F505" s="184"/>
      <c r="G505" s="290"/>
      <c r="H505" s="184"/>
    </row>
    <row r="506" spans="4:8">
      <c r="D506" s="198">
        <v>3311</v>
      </c>
      <c r="F506" s="20"/>
      <c r="G506" s="20"/>
      <c r="H506" s="184"/>
    </row>
    <row r="507" spans="4:8">
      <c r="D507" s="198">
        <v>3312</v>
      </c>
      <c r="F507" s="198"/>
      <c r="G507" s="198"/>
      <c r="H507" s="184"/>
    </row>
    <row r="508" spans="4:8">
      <c r="D508" s="198">
        <v>3315</v>
      </c>
      <c r="F508" s="20"/>
      <c r="G508" s="20"/>
      <c r="H508" s="184"/>
    </row>
    <row r="509" spans="4:8">
      <c r="D509" s="198">
        <v>3338</v>
      </c>
      <c r="F509" s="20"/>
      <c r="G509" s="20"/>
      <c r="H509" s="184"/>
    </row>
    <row r="510" spans="4:8">
      <c r="D510" s="198">
        <v>3356</v>
      </c>
      <c r="F510" s="198"/>
      <c r="G510" s="198"/>
      <c r="H510" s="184"/>
    </row>
    <row r="511" spans="4:8">
      <c r="D511" s="198">
        <v>3376</v>
      </c>
      <c r="F511" s="198"/>
      <c r="G511" s="198"/>
      <c r="H511" s="184"/>
    </row>
    <row r="512" spans="4:8">
      <c r="D512" s="198">
        <v>3380</v>
      </c>
      <c r="F512" s="184"/>
      <c r="G512" s="290"/>
      <c r="H512" s="184"/>
    </row>
    <row r="513" spans="4:8">
      <c r="D513" s="198">
        <v>3383</v>
      </c>
      <c r="F513" s="198"/>
      <c r="G513" s="198"/>
      <c r="H513" s="184"/>
    </row>
    <row r="514" spans="4:8">
      <c r="D514" s="198">
        <v>3406</v>
      </c>
      <c r="F514" s="198"/>
      <c r="G514" s="198"/>
      <c r="H514" s="184"/>
    </row>
    <row r="515" spans="4:8">
      <c r="D515" s="198">
        <v>3413</v>
      </c>
      <c r="F515" s="184"/>
      <c r="G515" s="290"/>
      <c r="H515" s="184"/>
    </row>
    <row r="516" spans="4:8">
      <c r="D516" s="198">
        <v>3416</v>
      </c>
      <c r="F516" s="20"/>
      <c r="G516" s="20"/>
      <c r="H516" s="184"/>
    </row>
    <row r="517" spans="4:8">
      <c r="D517" s="198">
        <v>3419</v>
      </c>
      <c r="F517" s="198"/>
      <c r="G517" s="198"/>
      <c r="H517" s="184"/>
    </row>
    <row r="518" spans="4:8">
      <c r="D518" s="198">
        <v>3432</v>
      </c>
      <c r="F518" s="198"/>
      <c r="G518" s="198"/>
      <c r="H518" s="184"/>
    </row>
    <row r="519" spans="4:8">
      <c r="D519" s="198">
        <v>3437</v>
      </c>
      <c r="H519" s="184"/>
    </row>
    <row r="520" spans="4:8">
      <c r="D520" s="198">
        <v>3443</v>
      </c>
      <c r="H520" s="184"/>
    </row>
    <row r="521" spans="4:8">
      <c r="D521" s="198">
        <v>3450</v>
      </c>
      <c r="F521" s="198"/>
      <c r="G521" s="198"/>
      <c r="H521" s="184"/>
    </row>
    <row r="522" spans="4:8">
      <c r="D522" s="198">
        <v>3454</v>
      </c>
      <c r="F522" s="184"/>
      <c r="G522" s="290"/>
      <c r="H522" s="184"/>
    </row>
    <row r="523" spans="4:8">
      <c r="D523" s="198">
        <v>3474</v>
      </c>
      <c r="F523" s="184"/>
      <c r="G523" s="290"/>
      <c r="H523" s="184"/>
    </row>
    <row r="524" spans="4:8">
      <c r="D524" s="198">
        <v>3481</v>
      </c>
      <c r="F524" s="20"/>
      <c r="G524" s="20"/>
      <c r="H524" s="184"/>
    </row>
    <row r="525" spans="4:8">
      <c r="D525" s="198">
        <v>3494</v>
      </c>
      <c r="F525" s="198"/>
      <c r="G525" s="198"/>
      <c r="H525" s="184"/>
    </row>
    <row r="526" spans="4:8">
      <c r="D526" s="198">
        <v>3501</v>
      </c>
      <c r="H526" s="184"/>
    </row>
    <row r="527" spans="4:8">
      <c r="D527" s="198">
        <v>3504</v>
      </c>
      <c r="F527" s="198"/>
      <c r="G527" s="198"/>
      <c r="H527" s="184"/>
    </row>
    <row r="528" spans="4:8">
      <c r="D528" s="198">
        <v>3514</v>
      </c>
      <c r="F528" s="20"/>
      <c r="G528" s="20"/>
      <c r="H528" s="184"/>
    </row>
    <row r="529" spans="4:8">
      <c r="D529" s="198">
        <v>3515</v>
      </c>
      <c r="F529" s="198"/>
      <c r="G529" s="198"/>
      <c r="H529" s="184"/>
    </row>
    <row r="530" spans="4:8">
      <c r="D530" s="198">
        <v>3518</v>
      </c>
      <c r="F530" s="198"/>
      <c r="G530" s="198"/>
      <c r="H530" s="184"/>
    </row>
    <row r="531" spans="4:8">
      <c r="D531" s="198">
        <v>3519</v>
      </c>
      <c r="F531" s="20"/>
      <c r="G531" s="20"/>
      <c r="H531" s="184"/>
    </row>
    <row r="532" spans="4:8">
      <c r="D532" s="198">
        <v>3532</v>
      </c>
      <c r="F532" s="20"/>
      <c r="G532" s="20"/>
      <c r="H532" s="184"/>
    </row>
    <row r="533" spans="4:8">
      <c r="D533" s="198">
        <v>3533</v>
      </c>
      <c r="F533" s="184"/>
      <c r="G533" s="290"/>
      <c r="H533" s="184"/>
    </row>
    <row r="534" spans="4:8">
      <c r="D534" s="198">
        <v>3535</v>
      </c>
      <c r="F534" s="20"/>
      <c r="G534" s="20"/>
      <c r="H534" s="184"/>
    </row>
    <row r="535" spans="4:8">
      <c r="D535" s="198">
        <v>3536</v>
      </c>
      <c r="F535" s="198"/>
      <c r="G535" s="198"/>
      <c r="H535" s="184"/>
    </row>
    <row r="536" spans="4:8">
      <c r="D536" s="198">
        <v>3545</v>
      </c>
      <c r="F536" s="198"/>
      <c r="G536" s="198"/>
      <c r="H536" s="184"/>
    </row>
    <row r="537" spans="4:8">
      <c r="D537" s="198">
        <v>3550</v>
      </c>
      <c r="H537" s="184"/>
    </row>
    <row r="538" spans="4:8">
      <c r="D538" s="198">
        <v>3557</v>
      </c>
      <c r="F538" s="184"/>
      <c r="G538" s="290"/>
      <c r="H538" s="184"/>
    </row>
    <row r="539" spans="4:8">
      <c r="D539" s="198">
        <v>3559</v>
      </c>
      <c r="F539" s="20"/>
      <c r="G539" s="20"/>
      <c r="H539" s="184"/>
    </row>
    <row r="540" spans="4:8">
      <c r="D540" s="198">
        <v>3561</v>
      </c>
      <c r="F540" s="198"/>
      <c r="G540" s="198"/>
      <c r="H540" s="184"/>
    </row>
    <row r="541" spans="4:8">
      <c r="D541" s="198">
        <v>3573</v>
      </c>
      <c r="F541" s="20"/>
      <c r="G541" s="20"/>
      <c r="H541" s="184"/>
    </row>
    <row r="542" spans="4:8">
      <c r="D542" s="198">
        <v>3576</v>
      </c>
      <c r="F542" s="198"/>
      <c r="G542" s="198"/>
      <c r="H542" s="184"/>
    </row>
    <row r="543" spans="4:8">
      <c r="D543" s="198">
        <v>3579</v>
      </c>
      <c r="F543" s="20"/>
      <c r="G543" s="20"/>
      <c r="H543" s="184"/>
    </row>
    <row r="544" spans="4:8">
      <c r="D544" s="198">
        <v>3583</v>
      </c>
      <c r="F544" s="184"/>
      <c r="G544" s="290"/>
      <c r="H544" s="184"/>
    </row>
    <row r="545" spans="4:8">
      <c r="D545" s="198">
        <v>3584</v>
      </c>
      <c r="F545" s="20"/>
      <c r="G545" s="20"/>
      <c r="H545" s="184"/>
    </row>
    <row r="546" spans="4:8">
      <c r="D546" s="198">
        <v>3588</v>
      </c>
      <c r="F546" s="184"/>
      <c r="G546" s="290"/>
      <c r="H546" s="184"/>
    </row>
    <row r="547" spans="4:8">
      <c r="D547" s="198">
        <v>3591</v>
      </c>
      <c r="F547" s="20"/>
      <c r="G547" s="20"/>
      <c r="H547" s="184"/>
    </row>
    <row r="548" spans="4:8">
      <c r="D548" s="198">
        <v>3593</v>
      </c>
      <c r="F548" s="184"/>
      <c r="G548" s="290"/>
      <c r="H548" s="184"/>
    </row>
    <row r="549" spans="4:8">
      <c r="D549" s="198">
        <v>3596</v>
      </c>
      <c r="H549" s="184"/>
    </row>
    <row r="550" spans="4:8">
      <c r="D550" s="198">
        <v>3598</v>
      </c>
      <c r="F550" s="198"/>
      <c r="G550" s="198"/>
      <c r="H550" s="184"/>
    </row>
    <row r="551" spans="4:8">
      <c r="D551" s="198">
        <v>3605</v>
      </c>
      <c r="F551" s="20"/>
      <c r="G551" s="20"/>
      <c r="H551" s="184"/>
    </row>
    <row r="552" spans="4:8">
      <c r="D552" s="198">
        <v>3607</v>
      </c>
      <c r="F552" s="198"/>
      <c r="G552" s="198"/>
      <c r="H552" s="184"/>
    </row>
    <row r="553" spans="4:8">
      <c r="D553" s="198">
        <v>3617</v>
      </c>
      <c r="F553" s="184"/>
      <c r="G553" s="290"/>
      <c r="H553" s="184"/>
    </row>
    <row r="554" spans="4:8">
      <c r="D554" s="198">
        <v>3622</v>
      </c>
      <c r="F554" s="20"/>
      <c r="G554" s="20"/>
      <c r="H554" s="184"/>
    </row>
    <row r="555" spans="4:8">
      <c r="D555" s="198">
        <v>3645</v>
      </c>
      <c r="H555" s="184"/>
    </row>
    <row r="556" spans="4:8">
      <c r="D556" s="198">
        <v>3653</v>
      </c>
      <c r="F556" s="184"/>
      <c r="G556" s="290"/>
      <c r="H556" s="184"/>
    </row>
    <row r="557" spans="4:8">
      <c r="D557" s="198">
        <v>3661</v>
      </c>
      <c r="F557" s="20"/>
      <c r="G557" s="20"/>
      <c r="H557" s="184"/>
    </row>
    <row r="558" spans="4:8">
      <c r="D558" s="198">
        <v>3665</v>
      </c>
      <c r="F558" s="198"/>
      <c r="G558" s="198"/>
      <c r="H558" s="184"/>
    </row>
    <row r="559" spans="4:8">
      <c r="D559" s="198">
        <v>3669</v>
      </c>
      <c r="F559" s="198"/>
      <c r="G559" s="198"/>
      <c r="H559" s="184"/>
    </row>
    <row r="560" spans="4:8">
      <c r="D560" s="198">
        <v>3673</v>
      </c>
      <c r="F560" s="184"/>
      <c r="G560" s="290"/>
      <c r="H560" s="184"/>
    </row>
    <row r="561" spans="4:8">
      <c r="D561" s="198">
        <v>3679</v>
      </c>
      <c r="F561" s="184"/>
      <c r="G561" s="290"/>
      <c r="H561" s="184"/>
    </row>
    <row r="562" spans="4:8">
      <c r="D562" s="198">
        <v>3682</v>
      </c>
      <c r="F562" s="20"/>
      <c r="G562" s="20"/>
      <c r="H562" s="184"/>
    </row>
    <row r="563" spans="4:8">
      <c r="D563" s="198">
        <v>3686</v>
      </c>
      <c r="F563" s="20"/>
      <c r="G563" s="20"/>
      <c r="H563" s="184"/>
    </row>
    <row r="564" spans="4:8">
      <c r="D564" s="198">
        <v>3694</v>
      </c>
      <c r="F564" s="198"/>
      <c r="G564" s="198"/>
      <c r="H564" s="184"/>
    </row>
    <row r="565" spans="4:8">
      <c r="D565" s="198">
        <v>3698</v>
      </c>
      <c r="F565" s="20"/>
      <c r="G565" s="20"/>
      <c r="H565" s="184"/>
    </row>
    <row r="566" spans="4:8">
      <c r="D566" s="198">
        <v>3701</v>
      </c>
      <c r="F566" s="184"/>
      <c r="G566" s="290"/>
      <c r="H566" s="184"/>
    </row>
    <row r="567" spans="4:8">
      <c r="D567" s="198">
        <v>3702</v>
      </c>
      <c r="F567" s="198"/>
      <c r="G567" s="198"/>
      <c r="H567" s="184"/>
    </row>
    <row r="568" spans="4:8">
      <c r="D568" s="198">
        <v>3703</v>
      </c>
      <c r="F568" s="184"/>
      <c r="G568" s="290"/>
      <c r="H568" s="184"/>
    </row>
    <row r="569" spans="4:8">
      <c r="D569" s="198">
        <v>3704</v>
      </c>
      <c r="F569" s="198"/>
      <c r="G569" s="198"/>
      <c r="H569" s="184"/>
    </row>
    <row r="570" spans="4:8">
      <c r="D570" s="198">
        <v>3705</v>
      </c>
      <c r="F570" s="184"/>
      <c r="G570" s="290"/>
      <c r="H570" s="184"/>
    </row>
    <row r="571" spans="4:8">
      <c r="D571" s="198">
        <v>3706</v>
      </c>
      <c r="F571" s="20"/>
      <c r="G571" s="20"/>
      <c r="H571" s="184"/>
    </row>
    <row r="572" spans="4:8">
      <c r="D572" s="198">
        <v>4104</v>
      </c>
      <c r="H572" s="184"/>
    </row>
    <row r="573" spans="4:8">
      <c r="D573" s="198">
        <v>4106</v>
      </c>
      <c r="F573" s="20"/>
      <c r="G573" s="20"/>
      <c r="H573" s="184"/>
    </row>
    <row r="574" spans="4:8">
      <c r="D574" s="198">
        <v>4108</v>
      </c>
      <c r="F574" s="20"/>
      <c r="G574" s="20"/>
      <c r="H574" s="184"/>
    </row>
    <row r="575" spans="4:8">
      <c r="D575" s="198">
        <v>4119</v>
      </c>
      <c r="F575" s="184"/>
      <c r="G575" s="290"/>
      <c r="H575" s="184"/>
    </row>
    <row r="576" spans="4:8">
      <c r="D576" s="198">
        <v>4133</v>
      </c>
      <c r="F576" s="20"/>
      <c r="G576" s="20"/>
      <c r="H576" s="184"/>
    </row>
    <row r="577" spans="4:8">
      <c r="D577" s="198">
        <v>4137</v>
      </c>
      <c r="H577" s="184"/>
    </row>
    <row r="578" spans="4:8">
      <c r="D578" s="198">
        <v>4141</v>
      </c>
      <c r="H578" s="184"/>
    </row>
    <row r="579" spans="4:8">
      <c r="D579" s="198">
        <v>4142</v>
      </c>
      <c r="F579" s="198"/>
      <c r="G579" s="198"/>
      <c r="H579" s="184"/>
    </row>
    <row r="580" spans="4:8">
      <c r="D580" s="198">
        <v>4144</v>
      </c>
      <c r="F580" s="184"/>
      <c r="G580" s="290"/>
      <c r="H580" s="184"/>
    </row>
    <row r="581" spans="4:8">
      <c r="D581" s="198">
        <v>4164</v>
      </c>
      <c r="F581" s="184"/>
      <c r="G581" s="290"/>
      <c r="H581" s="184"/>
    </row>
    <row r="582" spans="4:8">
      <c r="D582" s="198">
        <v>4190</v>
      </c>
      <c r="F582" s="20"/>
      <c r="G582" s="20"/>
      <c r="H582" s="184"/>
    </row>
    <row r="583" spans="4:8">
      <c r="D583" s="198">
        <v>4306</v>
      </c>
      <c r="F583" s="20"/>
      <c r="G583" s="20"/>
      <c r="H583" s="184"/>
    </row>
    <row r="584" spans="4:8">
      <c r="D584" s="198">
        <v>4414</v>
      </c>
      <c r="F584" s="198"/>
      <c r="G584" s="198"/>
      <c r="H584" s="184"/>
    </row>
    <row r="585" spans="4:8">
      <c r="D585" s="198">
        <v>4426</v>
      </c>
      <c r="F585" s="198"/>
      <c r="G585" s="198"/>
      <c r="H585" s="184"/>
    </row>
    <row r="586" spans="4:8">
      <c r="D586" s="198">
        <v>4526</v>
      </c>
      <c r="F586" s="20"/>
      <c r="G586" s="20"/>
      <c r="H586" s="184"/>
    </row>
    <row r="587" spans="4:8">
      <c r="D587" s="198">
        <v>4532</v>
      </c>
      <c r="F587" s="20"/>
      <c r="G587" s="20"/>
      <c r="H587" s="184"/>
    </row>
    <row r="588" spans="4:8">
      <c r="D588" s="198">
        <v>4536</v>
      </c>
      <c r="F588" s="198"/>
      <c r="G588" s="198"/>
      <c r="H588" s="184"/>
    </row>
    <row r="589" spans="4:8">
      <c r="D589" s="198">
        <v>4551</v>
      </c>
      <c r="F589" s="184"/>
      <c r="G589" s="290"/>
      <c r="H589" s="184"/>
    </row>
    <row r="590" spans="4:8">
      <c r="D590" s="198">
        <v>4555</v>
      </c>
      <c r="F590" s="20"/>
      <c r="G590" s="20"/>
      <c r="H590" s="184"/>
    </row>
    <row r="591" spans="4:8">
      <c r="D591" s="198">
        <v>4557</v>
      </c>
      <c r="F591" s="20"/>
      <c r="G591" s="20"/>
      <c r="H591" s="184"/>
    </row>
    <row r="592" spans="4:8">
      <c r="D592" s="198">
        <v>4720</v>
      </c>
      <c r="F592" s="184"/>
      <c r="G592" s="290"/>
      <c r="H592" s="184"/>
    </row>
    <row r="593" spans="4:8">
      <c r="D593" s="198">
        <v>4722</v>
      </c>
      <c r="F593" s="20"/>
      <c r="G593" s="20"/>
      <c r="H593" s="184"/>
    </row>
    <row r="594" spans="4:8">
      <c r="D594" s="198">
        <v>4725</v>
      </c>
      <c r="F594" s="198"/>
      <c r="G594" s="198"/>
      <c r="H594" s="184"/>
    </row>
    <row r="595" spans="4:8">
      <c r="D595" s="198">
        <v>4733</v>
      </c>
      <c r="F595" s="198"/>
      <c r="G595" s="198"/>
      <c r="H595" s="184"/>
    </row>
    <row r="596" spans="4:8">
      <c r="D596" s="198">
        <v>4737</v>
      </c>
      <c r="F596" s="20"/>
      <c r="G596" s="20"/>
      <c r="H596" s="184"/>
    </row>
    <row r="597" spans="4:8">
      <c r="D597" s="198">
        <v>4746</v>
      </c>
      <c r="F597" s="20"/>
      <c r="G597" s="20"/>
      <c r="H597" s="184"/>
    </row>
    <row r="598" spans="4:8">
      <c r="D598" s="198">
        <v>4755</v>
      </c>
      <c r="F598" s="198"/>
      <c r="G598" s="198"/>
      <c r="H598" s="184"/>
    </row>
    <row r="599" spans="4:8">
      <c r="D599" s="198">
        <v>4904</v>
      </c>
      <c r="F599" s="198"/>
      <c r="G599" s="198"/>
      <c r="H599" s="184"/>
    </row>
    <row r="600" spans="4:8">
      <c r="D600" s="198">
        <v>4906</v>
      </c>
      <c r="F600" s="20"/>
      <c r="G600" s="20"/>
      <c r="H600" s="184"/>
    </row>
    <row r="601" spans="4:8">
      <c r="D601" s="198">
        <v>4912</v>
      </c>
      <c r="F601" s="184"/>
      <c r="G601" s="290"/>
      <c r="H601" s="184"/>
    </row>
    <row r="602" spans="4:8">
      <c r="D602" s="198">
        <v>4915</v>
      </c>
      <c r="F602" s="184"/>
      <c r="G602" s="290"/>
      <c r="H602" s="184"/>
    </row>
    <row r="603" spans="4:8">
      <c r="D603" s="198">
        <v>4916</v>
      </c>
      <c r="F603" s="198"/>
      <c r="G603" s="198"/>
      <c r="H603" s="184"/>
    </row>
    <row r="604" spans="4:8">
      <c r="D604" s="198">
        <v>4919</v>
      </c>
      <c r="F604" s="184"/>
      <c r="G604" s="290"/>
      <c r="H604" s="184"/>
    </row>
    <row r="605" spans="4:8">
      <c r="D605" s="198">
        <v>4927</v>
      </c>
      <c r="F605" s="198"/>
      <c r="G605" s="198"/>
      <c r="H605" s="184"/>
    </row>
    <row r="606" spans="4:8">
      <c r="D606" s="198">
        <v>4930</v>
      </c>
      <c r="F606" s="198"/>
      <c r="G606" s="198"/>
      <c r="H606" s="184"/>
    </row>
    <row r="607" spans="4:8">
      <c r="D607" s="198">
        <v>4934</v>
      </c>
      <c r="H607" s="184"/>
    </row>
    <row r="608" spans="4:8">
      <c r="D608" s="198">
        <v>4935</v>
      </c>
      <c r="F608" s="20"/>
      <c r="G608" s="20"/>
      <c r="H608" s="184"/>
    </row>
    <row r="609" spans="4:8">
      <c r="D609" s="198">
        <v>4938</v>
      </c>
      <c r="F609" s="198"/>
      <c r="G609" s="198"/>
      <c r="H609" s="184"/>
    </row>
    <row r="610" spans="4:8">
      <c r="D610" s="198">
        <v>4942</v>
      </c>
      <c r="F610" s="20"/>
      <c r="G610" s="20"/>
      <c r="H610" s="184"/>
    </row>
    <row r="611" spans="4:8">
      <c r="D611" s="198">
        <v>4952</v>
      </c>
      <c r="F611" s="198"/>
      <c r="G611" s="198"/>
      <c r="H611" s="184"/>
    </row>
    <row r="612" spans="4:8">
      <c r="D612" s="198">
        <v>4956</v>
      </c>
      <c r="F612" s="20"/>
      <c r="G612" s="20"/>
      <c r="H612" s="184"/>
    </row>
    <row r="613" spans="4:8">
      <c r="D613" s="198">
        <v>4958</v>
      </c>
      <c r="F613" s="20"/>
      <c r="G613" s="20"/>
      <c r="H613" s="184"/>
    </row>
    <row r="614" spans="4:8">
      <c r="D614" s="198">
        <v>4960</v>
      </c>
      <c r="F614" s="198"/>
      <c r="G614" s="198"/>
      <c r="H614" s="184"/>
    </row>
    <row r="615" spans="4:8">
      <c r="D615" s="198">
        <v>4976</v>
      </c>
      <c r="F615" s="20"/>
      <c r="G615" s="20"/>
      <c r="H615" s="184"/>
    </row>
    <row r="616" spans="4:8">
      <c r="D616" s="198">
        <v>4977</v>
      </c>
      <c r="F616" s="198"/>
      <c r="G616" s="198"/>
      <c r="H616" s="184"/>
    </row>
    <row r="617" spans="4:8">
      <c r="D617" s="198">
        <v>4984</v>
      </c>
      <c r="F617" s="184"/>
      <c r="G617" s="290"/>
      <c r="H617" s="184"/>
    </row>
    <row r="618" spans="4:8">
      <c r="D618" s="198">
        <v>4994</v>
      </c>
      <c r="F618" s="20"/>
      <c r="G618" s="20"/>
      <c r="H618" s="184"/>
    </row>
    <row r="619" spans="4:8">
      <c r="D619" s="198">
        <v>4999</v>
      </c>
      <c r="F619" s="198"/>
      <c r="G619" s="198"/>
      <c r="H619" s="184"/>
    </row>
    <row r="620" spans="4:8">
      <c r="D620" s="198">
        <v>5007</v>
      </c>
      <c r="F620" s="20"/>
      <c r="G620" s="20"/>
      <c r="H620" s="184"/>
    </row>
    <row r="621" spans="4:8">
      <c r="D621" s="198">
        <v>5203</v>
      </c>
      <c r="H621" s="184"/>
    </row>
    <row r="622" spans="4:8">
      <c r="D622" s="198">
        <v>5215</v>
      </c>
      <c r="F622" s="198"/>
      <c r="G622" s="198"/>
      <c r="H622" s="184"/>
    </row>
    <row r="623" spans="4:8">
      <c r="D623" s="198">
        <v>5225</v>
      </c>
      <c r="H623" s="184"/>
    </row>
    <row r="624" spans="4:8">
      <c r="D624" s="198">
        <v>5234</v>
      </c>
      <c r="F624" s="198"/>
      <c r="G624" s="198"/>
      <c r="H624" s="184"/>
    </row>
    <row r="625" spans="4:8">
      <c r="D625" s="198">
        <v>5243</v>
      </c>
      <c r="F625" s="198"/>
      <c r="G625" s="198"/>
      <c r="H625" s="184"/>
    </row>
    <row r="626" spans="4:8">
      <c r="D626" s="198">
        <v>5259</v>
      </c>
      <c r="F626" s="20"/>
      <c r="G626" s="20"/>
      <c r="H626" s="184"/>
    </row>
    <row r="627" spans="4:8">
      <c r="D627" s="198">
        <v>5264</v>
      </c>
      <c r="H627" s="184"/>
    </row>
    <row r="628" spans="4:8">
      <c r="D628" s="198">
        <v>5269</v>
      </c>
      <c r="F628" s="20"/>
      <c r="G628" s="20"/>
      <c r="H628" s="184"/>
    </row>
    <row r="629" spans="4:8">
      <c r="D629" s="198">
        <v>5285</v>
      </c>
      <c r="F629" s="184"/>
      <c r="G629" s="290"/>
      <c r="H629" s="184"/>
    </row>
    <row r="630" spans="4:8">
      <c r="D630" s="198">
        <v>5288</v>
      </c>
      <c r="F630" s="198"/>
      <c r="G630" s="198"/>
      <c r="H630" s="184"/>
    </row>
    <row r="631" spans="4:8">
      <c r="D631" s="198">
        <v>5305</v>
      </c>
      <c r="F631" s="198"/>
      <c r="G631" s="198"/>
      <c r="H631" s="184"/>
    </row>
    <row r="632" spans="4:8">
      <c r="D632" s="198">
        <v>5388</v>
      </c>
      <c r="F632" s="184"/>
      <c r="G632" s="290"/>
      <c r="H632" s="184"/>
    </row>
    <row r="633" spans="4:8">
      <c r="D633" s="198">
        <v>5434</v>
      </c>
      <c r="F633" s="20"/>
      <c r="G633" s="20"/>
      <c r="H633" s="184"/>
    </row>
    <row r="634" spans="4:8">
      <c r="D634" s="198">
        <v>5469</v>
      </c>
      <c r="F634" s="20"/>
      <c r="G634" s="20"/>
      <c r="H634" s="184"/>
    </row>
    <row r="635" spans="4:8">
      <c r="D635" s="198">
        <v>5471</v>
      </c>
      <c r="F635" s="20"/>
      <c r="G635" s="20"/>
      <c r="H635" s="184"/>
    </row>
    <row r="636" spans="4:8">
      <c r="D636" s="198">
        <v>5484</v>
      </c>
      <c r="F636" s="198"/>
      <c r="G636" s="198"/>
      <c r="H636" s="184"/>
    </row>
    <row r="637" spans="4:8">
      <c r="D637" s="198">
        <v>5515</v>
      </c>
      <c r="F637" s="20"/>
      <c r="G637" s="20"/>
      <c r="H637" s="184"/>
    </row>
    <row r="638" spans="4:8">
      <c r="D638" s="198">
        <v>5519</v>
      </c>
      <c r="F638" s="20"/>
      <c r="G638" s="20"/>
      <c r="H638" s="184"/>
    </row>
    <row r="639" spans="4:8">
      <c r="D639" s="198">
        <v>5521</v>
      </c>
      <c r="F639" s="20"/>
      <c r="G639" s="20"/>
      <c r="H639" s="184"/>
    </row>
    <row r="640" spans="4:8">
      <c r="D640" s="198">
        <v>5522</v>
      </c>
      <c r="F640" s="184"/>
      <c r="G640" s="290"/>
      <c r="H640" s="184"/>
    </row>
    <row r="641" spans="4:8">
      <c r="D641" s="198">
        <v>5525</v>
      </c>
      <c r="F641" s="198"/>
      <c r="G641" s="198"/>
      <c r="H641" s="184"/>
    </row>
    <row r="642" spans="4:8">
      <c r="D642" s="198">
        <v>5531</v>
      </c>
      <c r="F642" s="20"/>
      <c r="G642" s="20"/>
      <c r="H642" s="184"/>
    </row>
    <row r="643" spans="4:8">
      <c r="D643" s="198">
        <v>5533</v>
      </c>
      <c r="F643" s="20"/>
      <c r="G643" s="20"/>
      <c r="H643" s="184"/>
    </row>
    <row r="644" spans="4:8">
      <c r="D644" s="198">
        <v>5534</v>
      </c>
      <c r="F644" s="198"/>
      <c r="G644" s="198"/>
      <c r="H644" s="184"/>
    </row>
    <row r="645" spans="4:8">
      <c r="D645" s="198">
        <v>5538</v>
      </c>
      <c r="F645" s="20"/>
      <c r="G645" s="20"/>
      <c r="H645" s="184"/>
    </row>
    <row r="646" spans="4:8">
      <c r="D646" s="198">
        <v>5607</v>
      </c>
      <c r="F646" s="20"/>
      <c r="G646" s="20"/>
      <c r="H646" s="184"/>
    </row>
    <row r="647" spans="4:8">
      <c r="D647" s="198">
        <v>5608</v>
      </c>
      <c r="F647" s="198"/>
      <c r="G647" s="198"/>
      <c r="H647" s="184"/>
    </row>
    <row r="648" spans="4:8">
      <c r="D648" s="198">
        <v>5706</v>
      </c>
      <c r="F648" s="198"/>
      <c r="G648" s="198"/>
      <c r="H648" s="184"/>
    </row>
    <row r="649" spans="4:8">
      <c r="D649" s="198">
        <v>5871</v>
      </c>
      <c r="F649" s="198"/>
      <c r="G649" s="198"/>
      <c r="H649" s="184"/>
    </row>
    <row r="650" spans="4:8">
      <c r="D650" s="198">
        <v>5906</v>
      </c>
      <c r="F650" s="20"/>
      <c r="G650" s="20"/>
      <c r="H650" s="184"/>
    </row>
    <row r="651" spans="4:8">
      <c r="D651" s="198">
        <v>5907</v>
      </c>
      <c r="F651" s="198"/>
      <c r="G651" s="198"/>
      <c r="H651" s="184"/>
    </row>
    <row r="652" spans="4:8">
      <c r="D652" s="198">
        <v>6108</v>
      </c>
      <c r="F652" s="198"/>
      <c r="G652" s="198"/>
      <c r="H652" s="184"/>
    </row>
    <row r="653" spans="4:8">
      <c r="D653" s="198">
        <v>6112</v>
      </c>
      <c r="H653" s="184"/>
    </row>
    <row r="654" spans="4:8">
      <c r="D654" s="198">
        <v>6115</v>
      </c>
      <c r="F654" s="184"/>
      <c r="G654" s="290"/>
      <c r="H654" s="184"/>
    </row>
    <row r="655" spans="4:8">
      <c r="D655" s="198">
        <v>6116</v>
      </c>
      <c r="F655" s="198"/>
      <c r="G655" s="198"/>
      <c r="H655" s="184"/>
    </row>
    <row r="656" spans="4:8">
      <c r="D656" s="198">
        <v>6117</v>
      </c>
      <c r="F656" s="198"/>
      <c r="G656" s="198"/>
      <c r="H656" s="184"/>
    </row>
    <row r="657" spans="4:8">
      <c r="D657" s="198">
        <v>6120</v>
      </c>
      <c r="F657" s="184"/>
      <c r="G657" s="290"/>
      <c r="H657" s="184"/>
    </row>
    <row r="658" spans="4:8">
      <c r="D658" s="198">
        <v>6128</v>
      </c>
      <c r="F658" s="198"/>
      <c r="G658" s="198"/>
      <c r="H658" s="184"/>
    </row>
    <row r="659" spans="4:8">
      <c r="D659" s="198">
        <v>6131</v>
      </c>
      <c r="F659" s="198"/>
      <c r="G659" s="198"/>
      <c r="H659" s="184"/>
    </row>
    <row r="660" spans="4:8">
      <c r="D660" s="198">
        <v>6133</v>
      </c>
      <c r="F660" s="20"/>
      <c r="G660" s="20"/>
      <c r="H660" s="184"/>
    </row>
    <row r="661" spans="4:8">
      <c r="D661" s="198">
        <v>6136</v>
      </c>
      <c r="F661" s="20"/>
      <c r="G661" s="20"/>
      <c r="H661" s="184"/>
    </row>
    <row r="662" spans="4:8">
      <c r="D662" s="198">
        <v>6139</v>
      </c>
      <c r="F662" s="198"/>
      <c r="G662" s="198"/>
      <c r="H662" s="184"/>
    </row>
    <row r="663" spans="4:8">
      <c r="D663" s="198">
        <v>6141</v>
      </c>
      <c r="H663" s="184"/>
    </row>
    <row r="664" spans="4:8">
      <c r="D664" s="198">
        <v>6142</v>
      </c>
      <c r="F664" s="184"/>
      <c r="G664" s="290"/>
      <c r="H664" s="184"/>
    </row>
    <row r="665" spans="4:8">
      <c r="D665" s="198">
        <v>6145</v>
      </c>
      <c r="F665" s="20"/>
      <c r="G665" s="20"/>
      <c r="H665" s="184"/>
    </row>
    <row r="666" spans="4:8">
      <c r="D666" s="198">
        <v>6152</v>
      </c>
      <c r="F666" s="20"/>
      <c r="G666" s="20"/>
      <c r="H666" s="184"/>
    </row>
    <row r="667" spans="4:8">
      <c r="D667" s="198">
        <v>6153</v>
      </c>
      <c r="F667" s="20"/>
      <c r="G667" s="20"/>
      <c r="H667" s="184"/>
    </row>
    <row r="668" spans="4:8">
      <c r="D668" s="198">
        <v>6155</v>
      </c>
      <c r="F668" s="184"/>
      <c r="G668" s="290"/>
      <c r="H668" s="184"/>
    </row>
    <row r="669" spans="4:8">
      <c r="D669" s="198">
        <v>6164</v>
      </c>
      <c r="F669" s="20"/>
      <c r="G669" s="20"/>
      <c r="H669" s="184"/>
    </row>
    <row r="670" spans="4:8">
      <c r="D670" s="198">
        <v>6165</v>
      </c>
      <c r="F670" s="184"/>
      <c r="G670" s="290"/>
      <c r="H670" s="184"/>
    </row>
    <row r="671" spans="4:8">
      <c r="D671" s="198">
        <v>6166</v>
      </c>
      <c r="F671" s="184"/>
      <c r="G671" s="290"/>
      <c r="H671" s="184"/>
    </row>
    <row r="672" spans="4:8">
      <c r="D672" s="198">
        <v>6168</v>
      </c>
      <c r="F672" s="20"/>
      <c r="G672" s="20"/>
      <c r="H672" s="184"/>
    </row>
    <row r="673" spans="4:9">
      <c r="D673" s="198">
        <v>6172</v>
      </c>
      <c r="F673" s="20"/>
      <c r="G673" s="20"/>
      <c r="H673" s="184"/>
    </row>
    <row r="674" spans="4:9">
      <c r="D674" s="198">
        <v>6176</v>
      </c>
      <c r="H674" s="184"/>
    </row>
    <row r="675" spans="4:9">
      <c r="D675" s="198">
        <v>6177</v>
      </c>
      <c r="F675" s="184"/>
      <c r="G675" s="290"/>
      <c r="H675" s="184"/>
    </row>
    <row r="676" spans="4:9">
      <c r="D676" s="198">
        <v>6183</v>
      </c>
      <c r="F676" s="198"/>
      <c r="G676" s="198"/>
      <c r="H676" s="184"/>
    </row>
    <row r="677" spans="4:9">
      <c r="D677" s="198">
        <v>6184</v>
      </c>
      <c r="F677" s="20"/>
      <c r="G677" s="20"/>
      <c r="H677" s="184"/>
    </row>
    <row r="678" spans="4:9">
      <c r="D678" s="198">
        <v>6189</v>
      </c>
      <c r="F678" s="184"/>
      <c r="G678" s="290"/>
      <c r="H678" s="184"/>
    </row>
    <row r="679" spans="4:9">
      <c r="D679" s="198">
        <v>6191</v>
      </c>
      <c r="F679" s="198"/>
      <c r="G679" s="198"/>
      <c r="H679" s="184"/>
    </row>
    <row r="680" spans="4:9">
      <c r="D680" s="198">
        <v>6192</v>
      </c>
      <c r="F680" s="20"/>
      <c r="G680" s="20"/>
      <c r="H680" s="184"/>
    </row>
    <row r="681" spans="4:9">
      <c r="D681" s="198">
        <v>6196</v>
      </c>
      <c r="F681" s="20"/>
      <c r="G681" s="20"/>
      <c r="H681" s="184"/>
    </row>
    <row r="682" spans="4:9">
      <c r="D682" s="198">
        <v>6197</v>
      </c>
      <c r="F682" s="20"/>
      <c r="G682" s="20"/>
      <c r="H682" s="184"/>
      <c r="I682" s="184"/>
    </row>
    <row r="683" spans="4:9">
      <c r="D683" s="198">
        <v>6201</v>
      </c>
      <c r="F683" s="20"/>
      <c r="G683" s="20"/>
      <c r="H683" s="184"/>
      <c r="I683" s="184"/>
    </row>
    <row r="684" spans="4:9">
      <c r="D684" s="198">
        <v>6202</v>
      </c>
      <c r="F684" s="20"/>
      <c r="G684" s="20"/>
      <c r="H684" s="184"/>
      <c r="I684" s="184"/>
    </row>
    <row r="685" spans="4:9">
      <c r="D685" s="198">
        <v>6205</v>
      </c>
      <c r="F685" s="20"/>
      <c r="G685" s="20"/>
      <c r="H685" s="184"/>
      <c r="I685" s="184"/>
    </row>
    <row r="686" spans="4:9">
      <c r="D686" s="198">
        <v>6206</v>
      </c>
      <c r="F686" s="20"/>
      <c r="G686" s="20"/>
      <c r="H686" s="184"/>
      <c r="I686" s="184"/>
    </row>
    <row r="687" spans="4:9">
      <c r="D687" s="198">
        <v>6209</v>
      </c>
      <c r="F687" s="20"/>
      <c r="G687" s="20"/>
      <c r="H687" s="184"/>
      <c r="I687" s="184"/>
    </row>
    <row r="688" spans="4:9">
      <c r="D688" s="198">
        <v>6213</v>
      </c>
      <c r="F688" s="20"/>
      <c r="G688" s="20"/>
      <c r="H688" s="184"/>
      <c r="I688" s="184"/>
    </row>
    <row r="689" spans="4:9">
      <c r="D689" s="198">
        <v>6214</v>
      </c>
      <c r="F689" s="20"/>
      <c r="G689" s="20"/>
      <c r="H689" s="184"/>
      <c r="I689" s="184"/>
    </row>
    <row r="690" spans="4:9">
      <c r="D690" s="198">
        <v>6215</v>
      </c>
      <c r="F690" s="20"/>
      <c r="G690" s="20"/>
      <c r="H690" s="184"/>
      <c r="I690" s="184"/>
    </row>
    <row r="691" spans="4:9">
      <c r="D691" s="198">
        <v>6216</v>
      </c>
      <c r="F691" s="20"/>
      <c r="G691" s="20"/>
      <c r="H691" s="184"/>
      <c r="I691" s="184"/>
    </row>
    <row r="692" spans="4:9">
      <c r="D692" s="198">
        <v>6224</v>
      </c>
      <c r="F692" s="20"/>
      <c r="G692" s="20"/>
      <c r="H692" s="184"/>
      <c r="I692" s="184"/>
    </row>
    <row r="693" spans="4:9">
      <c r="D693" s="198">
        <v>6225</v>
      </c>
      <c r="F693" s="20"/>
      <c r="G693" s="20"/>
      <c r="H693" s="184"/>
    </row>
    <row r="694" spans="4:9">
      <c r="D694" s="198">
        <v>6226</v>
      </c>
      <c r="F694" s="20"/>
      <c r="G694" s="20"/>
      <c r="H694" s="184"/>
    </row>
    <row r="695" spans="4:9">
      <c r="D695" s="198">
        <v>6230</v>
      </c>
      <c r="F695" s="20"/>
      <c r="G695" s="20"/>
      <c r="H695" s="184"/>
    </row>
    <row r="696" spans="4:9">
      <c r="D696" s="198">
        <v>6235</v>
      </c>
      <c r="F696" s="20"/>
      <c r="G696" s="20"/>
      <c r="H696" s="184"/>
    </row>
    <row r="697" spans="4:9">
      <c r="D697" s="198">
        <v>6239</v>
      </c>
      <c r="F697" s="20"/>
      <c r="G697" s="20"/>
      <c r="H697" s="184"/>
    </row>
    <row r="698" spans="4:9">
      <c r="D698" s="198">
        <v>6243</v>
      </c>
      <c r="F698" s="20"/>
      <c r="G698" s="20"/>
      <c r="H698" s="184"/>
    </row>
    <row r="699" spans="4:9">
      <c r="D699" s="198">
        <v>6251</v>
      </c>
      <c r="F699" s="20"/>
      <c r="G699" s="20"/>
      <c r="H699" s="184"/>
    </row>
    <row r="700" spans="4:9">
      <c r="D700" s="198">
        <v>6257</v>
      </c>
      <c r="F700" s="20"/>
      <c r="G700" s="20"/>
      <c r="H700" s="184"/>
    </row>
    <row r="701" spans="4:9">
      <c r="D701" s="198">
        <v>6269</v>
      </c>
      <c r="F701" s="20"/>
      <c r="G701" s="20"/>
      <c r="H701" s="184"/>
    </row>
    <row r="702" spans="4:9">
      <c r="D702" s="198">
        <v>6271</v>
      </c>
      <c r="F702" s="20"/>
      <c r="G702" s="20"/>
      <c r="H702" s="184"/>
    </row>
    <row r="703" spans="4:9">
      <c r="D703" s="198">
        <v>6277</v>
      </c>
      <c r="F703" s="20"/>
      <c r="G703" s="20"/>
      <c r="H703" s="184"/>
    </row>
    <row r="704" spans="4:9">
      <c r="D704" s="198">
        <v>6278</v>
      </c>
      <c r="F704" s="20"/>
      <c r="G704" s="20"/>
      <c r="H704" s="184"/>
    </row>
    <row r="705" spans="4:9">
      <c r="D705" s="198">
        <v>6281</v>
      </c>
      <c r="F705" s="20"/>
      <c r="G705" s="20"/>
      <c r="H705" s="184"/>
    </row>
    <row r="706" spans="4:9">
      <c r="D706" s="198">
        <v>6282</v>
      </c>
      <c r="F706" s="20"/>
      <c r="G706" s="20"/>
      <c r="H706" s="184"/>
    </row>
    <row r="707" spans="4:9">
      <c r="D707" s="198">
        <v>6283</v>
      </c>
      <c r="F707" s="20"/>
      <c r="G707" s="20"/>
      <c r="H707" s="184"/>
    </row>
    <row r="708" spans="4:9">
      <c r="D708" s="198">
        <v>6285</v>
      </c>
      <c r="F708" s="20"/>
      <c r="G708" s="20"/>
      <c r="H708" s="184"/>
    </row>
    <row r="709" spans="4:9">
      <c r="D709" s="198">
        <v>6286</v>
      </c>
      <c r="F709" s="20"/>
      <c r="G709" s="20"/>
      <c r="H709" s="184"/>
    </row>
    <row r="710" spans="4:9">
      <c r="D710" s="198">
        <v>6289</v>
      </c>
      <c r="F710" s="20"/>
      <c r="G710" s="20"/>
      <c r="H710" s="184"/>
    </row>
    <row r="711" spans="4:9">
      <c r="D711" s="198">
        <v>6405</v>
      </c>
      <c r="F711" s="20"/>
      <c r="G711" s="20"/>
      <c r="H711" s="184"/>
    </row>
    <row r="712" spans="4:9">
      <c r="D712" s="198">
        <v>6409</v>
      </c>
      <c r="F712" s="20"/>
      <c r="G712" s="20"/>
      <c r="H712" s="184"/>
    </row>
    <row r="713" spans="4:9">
      <c r="D713" s="198">
        <v>6412</v>
      </c>
      <c r="F713" s="20"/>
      <c r="G713" s="20"/>
      <c r="H713" s="184"/>
    </row>
    <row r="714" spans="4:9">
      <c r="D714" s="198">
        <v>6414</v>
      </c>
      <c r="F714" s="20"/>
      <c r="G714" s="20"/>
      <c r="H714" s="184"/>
    </row>
    <row r="715" spans="4:9">
      <c r="D715" s="198">
        <v>6415</v>
      </c>
      <c r="F715" s="20"/>
      <c r="G715" s="20"/>
      <c r="H715" s="184"/>
    </row>
    <row r="716" spans="4:9">
      <c r="D716" s="198">
        <v>6422</v>
      </c>
      <c r="F716" s="20"/>
      <c r="G716" s="20"/>
      <c r="H716" s="184"/>
    </row>
    <row r="717" spans="4:9">
      <c r="D717" s="198">
        <v>6431</v>
      </c>
      <c r="F717" s="20"/>
      <c r="G717" s="20"/>
      <c r="H717" s="184"/>
      <c r="I717" s="184"/>
    </row>
    <row r="718" spans="4:9">
      <c r="D718" s="198">
        <v>6442</v>
      </c>
      <c r="F718" s="20"/>
      <c r="G718" s="20"/>
      <c r="H718" s="184"/>
      <c r="I718" s="184"/>
    </row>
    <row r="719" spans="4:9">
      <c r="D719" s="198">
        <v>6443</v>
      </c>
      <c r="F719" s="20"/>
      <c r="G719" s="20"/>
      <c r="H719" s="184"/>
      <c r="I719" s="184"/>
    </row>
    <row r="720" spans="4:9">
      <c r="D720" s="198">
        <v>6449</v>
      </c>
      <c r="F720" s="20"/>
      <c r="G720" s="20"/>
      <c r="H720" s="184"/>
      <c r="I720" s="184"/>
    </row>
    <row r="721" spans="4:9">
      <c r="D721" s="198">
        <v>6451</v>
      </c>
      <c r="F721" s="20"/>
      <c r="G721" s="20"/>
      <c r="H721" s="184"/>
      <c r="I721" s="184"/>
    </row>
    <row r="722" spans="4:9">
      <c r="D722" s="198">
        <v>6452</v>
      </c>
      <c r="F722" s="20"/>
      <c r="G722" s="20"/>
      <c r="H722" s="184"/>
      <c r="I722" s="184"/>
    </row>
    <row r="723" spans="4:9">
      <c r="D723" s="198">
        <v>6456</v>
      </c>
      <c r="F723" s="20"/>
      <c r="G723" s="20"/>
      <c r="H723" s="184"/>
      <c r="I723" s="184"/>
    </row>
    <row r="724" spans="4:9">
      <c r="D724" s="198">
        <v>6504</v>
      </c>
      <c r="F724" s="20"/>
      <c r="G724" s="20"/>
      <c r="H724" s="184"/>
      <c r="I724" s="184"/>
    </row>
    <row r="725" spans="4:9">
      <c r="D725" s="198">
        <v>6505</v>
      </c>
      <c r="F725" s="20"/>
      <c r="G725" s="20"/>
      <c r="H725" s="184"/>
      <c r="I725" s="184"/>
    </row>
    <row r="726" spans="4:9">
      <c r="D726" s="198">
        <v>6605</v>
      </c>
      <c r="F726" s="20"/>
      <c r="G726" s="20"/>
      <c r="H726" s="184"/>
      <c r="I726" s="184"/>
    </row>
    <row r="727" spans="4:9">
      <c r="D727" s="198">
        <v>6702</v>
      </c>
      <c r="F727" s="20"/>
      <c r="G727" s="20"/>
      <c r="H727" s="184"/>
      <c r="I727" s="184"/>
    </row>
    <row r="728" spans="4:9">
      <c r="D728" s="198">
        <v>8011</v>
      </c>
      <c r="F728" s="20"/>
      <c r="G728" s="20"/>
      <c r="H728" s="184"/>
      <c r="I728" s="184"/>
    </row>
    <row r="729" spans="4:9">
      <c r="D729" s="198">
        <v>8016</v>
      </c>
      <c r="F729" s="20"/>
      <c r="G729" s="20"/>
      <c r="H729" s="184"/>
    </row>
    <row r="730" spans="4:9">
      <c r="D730" s="198">
        <v>8021</v>
      </c>
      <c r="F730" s="20"/>
      <c r="G730" s="20"/>
      <c r="H730" s="184"/>
    </row>
    <row r="731" spans="4:9">
      <c r="D731" s="198">
        <v>8033</v>
      </c>
      <c r="F731" s="20"/>
      <c r="G731" s="20"/>
      <c r="H731" s="184"/>
    </row>
    <row r="732" spans="4:9">
      <c r="D732" s="198">
        <v>8039</v>
      </c>
      <c r="F732" s="20"/>
      <c r="G732" s="20"/>
      <c r="H732" s="184"/>
    </row>
    <row r="733" spans="4:9">
      <c r="D733" s="198">
        <v>8046</v>
      </c>
      <c r="F733" s="20"/>
      <c r="G733" s="20"/>
      <c r="H733" s="184"/>
    </row>
    <row r="734" spans="4:9">
      <c r="D734" s="198">
        <v>8070</v>
      </c>
      <c r="F734" s="20"/>
      <c r="G734" s="20"/>
      <c r="H734" s="184"/>
    </row>
    <row r="735" spans="4:9">
      <c r="D735" s="198">
        <v>8072</v>
      </c>
      <c r="F735" s="20"/>
      <c r="G735" s="20"/>
      <c r="H735" s="184"/>
    </row>
    <row r="736" spans="4:9">
      <c r="D736" s="198">
        <v>8081</v>
      </c>
      <c r="F736" s="20"/>
      <c r="G736" s="20"/>
      <c r="H736" s="184"/>
    </row>
    <row r="737" spans="4:8">
      <c r="D737" s="198">
        <v>8101</v>
      </c>
      <c r="F737" s="20"/>
      <c r="G737" s="20"/>
      <c r="H737" s="184"/>
    </row>
    <row r="738" spans="4:8">
      <c r="D738" s="198">
        <v>8103</v>
      </c>
      <c r="F738" s="20"/>
      <c r="G738" s="20"/>
      <c r="H738" s="184"/>
    </row>
    <row r="739" spans="4:8">
      <c r="D739" s="198">
        <v>8105</v>
      </c>
      <c r="F739" s="20"/>
      <c r="G739" s="20"/>
      <c r="H739" s="184"/>
    </row>
    <row r="740" spans="4:8">
      <c r="D740" s="198">
        <v>8110</v>
      </c>
      <c r="F740" s="20"/>
      <c r="G740" s="20"/>
      <c r="H740" s="184"/>
    </row>
    <row r="741" spans="4:8">
      <c r="D741" s="198">
        <v>8112</v>
      </c>
      <c r="F741" s="20"/>
      <c r="G741" s="20"/>
      <c r="H741" s="184"/>
    </row>
    <row r="742" spans="4:8">
      <c r="D742" s="198">
        <v>8114</v>
      </c>
      <c r="F742" s="20"/>
      <c r="G742" s="20"/>
      <c r="H742" s="184"/>
    </row>
    <row r="743" spans="4:8">
      <c r="D743" s="198">
        <v>8131</v>
      </c>
      <c r="F743" s="20"/>
      <c r="G743" s="20"/>
      <c r="H743" s="184"/>
    </row>
    <row r="744" spans="4:8">
      <c r="D744" s="198">
        <v>8150</v>
      </c>
      <c r="F744" s="20"/>
      <c r="G744" s="20"/>
      <c r="H744" s="184"/>
    </row>
    <row r="745" spans="4:8">
      <c r="D745" s="198">
        <v>8163</v>
      </c>
      <c r="F745" s="20"/>
      <c r="G745" s="20"/>
      <c r="H745" s="184"/>
    </row>
    <row r="746" spans="4:8">
      <c r="D746" s="198">
        <v>8201</v>
      </c>
      <c r="F746" s="20"/>
      <c r="G746" s="20"/>
      <c r="H746" s="184"/>
    </row>
    <row r="747" spans="4:8">
      <c r="D747" s="198">
        <v>8210</v>
      </c>
      <c r="F747" s="20"/>
      <c r="G747" s="20"/>
      <c r="H747" s="184"/>
    </row>
    <row r="748" spans="4:8">
      <c r="D748" s="198">
        <v>8213</v>
      </c>
      <c r="F748" s="20"/>
      <c r="G748" s="20"/>
      <c r="H748" s="184"/>
    </row>
    <row r="749" spans="4:8">
      <c r="D749" s="198">
        <v>8215</v>
      </c>
      <c r="F749" s="20"/>
      <c r="G749" s="20"/>
      <c r="H749" s="184"/>
    </row>
    <row r="750" spans="4:8">
      <c r="D750" s="198">
        <v>8222</v>
      </c>
      <c r="F750" s="20"/>
      <c r="G750" s="20"/>
      <c r="H750" s="184"/>
    </row>
    <row r="751" spans="4:8">
      <c r="D751" s="198">
        <v>8249</v>
      </c>
      <c r="F751" s="20"/>
      <c r="G751" s="20"/>
      <c r="H751" s="184"/>
    </row>
    <row r="752" spans="4:8">
      <c r="D752" s="198">
        <v>8261</v>
      </c>
      <c r="F752" s="20"/>
      <c r="G752" s="20"/>
      <c r="H752" s="184"/>
    </row>
    <row r="753" spans="4:8">
      <c r="D753" s="198">
        <v>8271</v>
      </c>
      <c r="F753" s="20"/>
      <c r="G753" s="20"/>
      <c r="H753" s="184"/>
    </row>
    <row r="754" spans="4:8">
      <c r="D754" s="198">
        <v>8341</v>
      </c>
      <c r="F754" s="20"/>
      <c r="G754" s="20"/>
      <c r="H754" s="184"/>
    </row>
    <row r="755" spans="4:8">
      <c r="D755" s="198">
        <v>8374</v>
      </c>
      <c r="F755" s="20"/>
      <c r="G755" s="20"/>
      <c r="H755" s="184"/>
    </row>
    <row r="756" spans="4:8">
      <c r="D756" s="198">
        <v>8404</v>
      </c>
      <c r="F756" s="20"/>
      <c r="G756" s="20"/>
      <c r="H756" s="184"/>
    </row>
    <row r="757" spans="4:8">
      <c r="D757" s="198">
        <v>8411</v>
      </c>
      <c r="F757" s="20"/>
      <c r="G757" s="20"/>
      <c r="H757" s="184"/>
    </row>
    <row r="758" spans="4:8">
      <c r="D758" s="198">
        <v>8422</v>
      </c>
      <c r="F758" s="20"/>
      <c r="G758" s="20"/>
      <c r="H758" s="184"/>
    </row>
    <row r="759" spans="4:8">
      <c r="D759" s="198">
        <v>8427</v>
      </c>
      <c r="F759" s="20"/>
      <c r="G759" s="20"/>
      <c r="H759" s="184"/>
    </row>
    <row r="760" spans="4:8">
      <c r="D760" s="198">
        <v>8429</v>
      </c>
      <c r="F760" s="20"/>
      <c r="G760" s="20"/>
      <c r="H760" s="184"/>
    </row>
    <row r="761" spans="4:8">
      <c r="D761" s="198">
        <v>8443</v>
      </c>
      <c r="F761" s="20"/>
      <c r="G761" s="20"/>
      <c r="H761" s="184"/>
    </row>
    <row r="762" spans="4:8">
      <c r="D762" s="198">
        <v>8454</v>
      </c>
      <c r="F762" s="20"/>
      <c r="G762" s="20"/>
      <c r="H762" s="184"/>
    </row>
    <row r="763" spans="4:8">
      <c r="D763" s="198">
        <v>8463</v>
      </c>
      <c r="F763" s="20"/>
      <c r="G763" s="20"/>
      <c r="H763" s="184"/>
    </row>
    <row r="764" spans="4:8">
      <c r="D764" s="198">
        <v>8926</v>
      </c>
      <c r="F764" s="20"/>
      <c r="G764" s="20"/>
      <c r="H764" s="184"/>
    </row>
    <row r="765" spans="4:8">
      <c r="D765" s="198">
        <v>8940</v>
      </c>
      <c r="F765" s="20"/>
      <c r="G765" s="20"/>
      <c r="H765" s="184"/>
    </row>
    <row r="766" spans="4:8">
      <c r="D766" s="198">
        <v>8996</v>
      </c>
      <c r="F766" s="20"/>
      <c r="G766" s="20"/>
      <c r="H766" s="184"/>
    </row>
    <row r="767" spans="4:8">
      <c r="D767" s="198">
        <v>9802</v>
      </c>
      <c r="F767" s="20"/>
      <c r="G767" s="20"/>
      <c r="H767" s="184"/>
    </row>
    <row r="768" spans="4:8">
      <c r="D768" s="198">
        <v>9902</v>
      </c>
      <c r="F768" s="20"/>
      <c r="G768" s="20"/>
      <c r="H768" s="184"/>
    </row>
    <row r="769" spans="4:8">
      <c r="D769" s="198">
        <v>9904</v>
      </c>
      <c r="F769" s="20"/>
      <c r="G769" s="20"/>
      <c r="H769" s="184"/>
    </row>
    <row r="770" spans="4:8">
      <c r="D770" s="198">
        <v>9905</v>
      </c>
      <c r="F770" s="20"/>
      <c r="G770" s="20"/>
      <c r="H770" s="184"/>
    </row>
    <row r="771" spans="4:8">
      <c r="D771" s="198">
        <v>9906</v>
      </c>
      <c r="F771" s="20"/>
      <c r="G771" s="20"/>
      <c r="H771" s="184"/>
    </row>
    <row r="772" spans="4:8">
      <c r="D772" s="198">
        <v>9907</v>
      </c>
      <c r="F772" s="20"/>
      <c r="G772" s="20"/>
      <c r="H772" s="184"/>
    </row>
    <row r="773" spans="4:8">
      <c r="D773" s="198">
        <v>9908</v>
      </c>
      <c r="F773" s="20"/>
      <c r="G773" s="20"/>
      <c r="H773" s="184"/>
    </row>
    <row r="774" spans="4:8">
      <c r="D774" s="198">
        <v>9910</v>
      </c>
      <c r="F774" s="20"/>
      <c r="G774" s="20"/>
      <c r="H774" s="184"/>
    </row>
    <row r="775" spans="4:8">
      <c r="D775" s="198">
        <v>9911</v>
      </c>
      <c r="F775" s="20"/>
      <c r="G775" s="20"/>
      <c r="H775" s="184"/>
    </row>
    <row r="776" spans="4:8">
      <c r="D776" s="198">
        <v>9912</v>
      </c>
      <c r="F776" s="20"/>
      <c r="G776" s="20"/>
      <c r="H776" s="184"/>
    </row>
    <row r="777" spans="4:8">
      <c r="D777" s="198">
        <v>9914</v>
      </c>
      <c r="F777" s="20"/>
      <c r="G777" s="20"/>
      <c r="H777" s="184"/>
    </row>
    <row r="778" spans="4:8">
      <c r="D778" s="198">
        <v>9917</v>
      </c>
      <c r="F778" s="20"/>
      <c r="G778" s="20"/>
      <c r="H778" s="184"/>
    </row>
    <row r="779" spans="4:8">
      <c r="D779" s="198">
        <v>9918</v>
      </c>
      <c r="F779" s="20"/>
      <c r="G779" s="20"/>
      <c r="H779" s="184"/>
    </row>
    <row r="780" spans="4:8">
      <c r="D780" s="198">
        <v>9919</v>
      </c>
      <c r="F780" s="20"/>
      <c r="G780" s="20"/>
      <c r="H780" s="184"/>
    </row>
    <row r="781" spans="4:8">
      <c r="D781" s="198">
        <v>9921</v>
      </c>
      <c r="F781" s="20"/>
      <c r="G781" s="20"/>
      <c r="H781" s="184"/>
    </row>
    <row r="782" spans="4:8">
      <c r="D782" s="198">
        <v>9924</v>
      </c>
      <c r="F782" s="20"/>
      <c r="G782" s="20"/>
      <c r="H782" s="184"/>
    </row>
    <row r="783" spans="4:8">
      <c r="D783" s="198">
        <v>9925</v>
      </c>
      <c r="F783" s="20"/>
      <c r="G783" s="20"/>
      <c r="H783" s="184"/>
    </row>
    <row r="784" spans="4:8">
      <c r="D784" s="198">
        <v>9926</v>
      </c>
      <c r="F784" s="20"/>
      <c r="G784" s="20"/>
      <c r="H784" s="184"/>
    </row>
    <row r="785" spans="4:8">
      <c r="D785" s="198">
        <v>9927</v>
      </c>
      <c r="F785" s="20"/>
      <c r="G785" s="20"/>
      <c r="H785" s="184"/>
    </row>
    <row r="786" spans="4:8">
      <c r="D786" s="198">
        <v>9928</v>
      </c>
      <c r="F786" s="20"/>
      <c r="G786" s="20"/>
      <c r="H786" s="184"/>
    </row>
    <row r="787" spans="4:8">
      <c r="D787" s="198">
        <v>9929</v>
      </c>
      <c r="F787" s="20"/>
      <c r="G787" s="20"/>
      <c r="H787" s="184"/>
    </row>
    <row r="788" spans="4:8">
      <c r="D788" s="198">
        <v>9930</v>
      </c>
      <c r="F788" s="20"/>
      <c r="G788" s="20"/>
      <c r="H788" s="184"/>
    </row>
    <row r="789" spans="4:8">
      <c r="D789" s="198">
        <v>9931</v>
      </c>
      <c r="F789" s="20"/>
      <c r="G789" s="20"/>
      <c r="H789" s="184"/>
    </row>
    <row r="790" spans="4:8">
      <c r="D790" s="198">
        <v>9933</v>
      </c>
      <c r="F790" s="20"/>
      <c r="G790" s="20"/>
      <c r="H790" s="184"/>
    </row>
    <row r="791" spans="4:8">
      <c r="D791" s="198">
        <v>9934</v>
      </c>
      <c r="F791" s="20"/>
      <c r="G791" s="20"/>
      <c r="H791" s="184"/>
    </row>
    <row r="792" spans="4:8">
      <c r="D792" s="198">
        <v>9935</v>
      </c>
      <c r="F792" s="20"/>
      <c r="G792" s="20"/>
      <c r="H792" s="184"/>
    </row>
    <row r="793" spans="4:8">
      <c r="D793" s="198">
        <v>9937</v>
      </c>
      <c r="F793" s="20"/>
      <c r="G793" s="20"/>
      <c r="H793" s="184"/>
    </row>
    <row r="794" spans="4:8">
      <c r="D794" s="198">
        <v>9938</v>
      </c>
      <c r="F794" s="20"/>
      <c r="G794" s="20"/>
      <c r="H794" s="184"/>
    </row>
    <row r="795" spans="4:8">
      <c r="D795" s="198">
        <v>9939</v>
      </c>
      <c r="F795" s="20"/>
      <c r="G795" s="20"/>
      <c r="H795" s="184"/>
    </row>
    <row r="796" spans="4:8">
      <c r="D796" s="198">
        <v>9940</v>
      </c>
      <c r="F796" s="20"/>
      <c r="G796" s="20"/>
      <c r="H796" s="184"/>
    </row>
    <row r="797" spans="4:8">
      <c r="D797" s="198">
        <v>9941</v>
      </c>
      <c r="F797" s="20"/>
      <c r="G797" s="20"/>
      <c r="H797" s="184"/>
    </row>
    <row r="798" spans="4:8">
      <c r="D798" s="198">
        <v>9942</v>
      </c>
      <c r="F798" s="20"/>
      <c r="G798" s="20"/>
      <c r="H798" s="184"/>
    </row>
    <row r="799" spans="4:8">
      <c r="D799" s="198">
        <v>9943</v>
      </c>
      <c r="F799" s="20"/>
      <c r="G799" s="20"/>
      <c r="H799" s="184"/>
    </row>
    <row r="800" spans="4:8">
      <c r="D800" s="198">
        <v>9944</v>
      </c>
      <c r="F800" s="20"/>
      <c r="G800" s="20"/>
      <c r="H800" s="184"/>
    </row>
    <row r="801" spans="4:8">
      <c r="D801" s="198">
        <v>9945</v>
      </c>
      <c r="F801" s="20"/>
      <c r="G801" s="20"/>
      <c r="H801" s="184"/>
    </row>
    <row r="802" spans="4:8">
      <c r="D802" s="198">
        <v>9946</v>
      </c>
      <c r="F802" s="20"/>
      <c r="G802" s="20"/>
      <c r="H802" s="184"/>
    </row>
    <row r="803" spans="4:8">
      <c r="D803" s="198">
        <v>9955</v>
      </c>
      <c r="F803" s="20"/>
      <c r="G803" s="20"/>
      <c r="H803" s="184"/>
    </row>
    <row r="804" spans="4:8">
      <c r="D804" s="198">
        <v>9958</v>
      </c>
      <c r="F804" s="20"/>
      <c r="G804" s="20"/>
      <c r="H804" s="184"/>
    </row>
    <row r="805" spans="4:8">
      <c r="D805" s="198">
        <v>1256</v>
      </c>
      <c r="F805" s="20"/>
      <c r="G805" s="20"/>
      <c r="H805" s="184"/>
    </row>
    <row r="806" spans="4:8">
      <c r="D806" s="198">
        <v>1258</v>
      </c>
      <c r="F806" s="20"/>
      <c r="G806" s="20"/>
      <c r="H806" s="184"/>
    </row>
    <row r="807" spans="4:8">
      <c r="D807" s="198">
        <v>1259</v>
      </c>
      <c r="F807" s="20"/>
      <c r="G807" s="20"/>
      <c r="H807" s="184"/>
    </row>
    <row r="808" spans="4:8">
      <c r="D808" s="198">
        <v>1264</v>
      </c>
      <c r="F808" s="20"/>
      <c r="G808" s="20"/>
      <c r="H808" s="184"/>
    </row>
    <row r="809" spans="4:8">
      <c r="D809" s="198">
        <v>1333</v>
      </c>
      <c r="F809" s="20"/>
      <c r="G809" s="20"/>
      <c r="H809" s="184"/>
    </row>
    <row r="810" spans="4:8">
      <c r="D810" s="198">
        <v>1336</v>
      </c>
      <c r="F810" s="20"/>
      <c r="G810" s="20"/>
      <c r="H810" s="184"/>
    </row>
    <row r="811" spans="4:8">
      <c r="D811" s="198">
        <v>1565</v>
      </c>
      <c r="F811" s="20"/>
      <c r="G811" s="20"/>
      <c r="H811" s="184"/>
    </row>
    <row r="812" spans="4:8">
      <c r="D812" s="198">
        <v>1566</v>
      </c>
      <c r="F812" s="20"/>
      <c r="G812" s="20"/>
      <c r="H812" s="184"/>
    </row>
    <row r="813" spans="4:8">
      <c r="D813" s="198">
        <v>1569</v>
      </c>
      <c r="F813" s="20"/>
      <c r="G813" s="20"/>
      <c r="H813" s="184"/>
    </row>
    <row r="814" spans="4:8">
      <c r="D814" s="198">
        <v>1570</v>
      </c>
      <c r="F814" s="20"/>
      <c r="G814" s="20"/>
      <c r="H814" s="184"/>
    </row>
    <row r="815" spans="4:8">
      <c r="D815" s="198">
        <v>1580</v>
      </c>
      <c r="F815" s="20"/>
      <c r="G815" s="20"/>
      <c r="H815" s="184"/>
    </row>
    <row r="816" spans="4:8">
      <c r="D816" s="198">
        <v>1584</v>
      </c>
      <c r="F816" s="20"/>
      <c r="G816" s="20"/>
      <c r="H816" s="184"/>
    </row>
    <row r="817" spans="4:8">
      <c r="D817" s="198">
        <v>1586</v>
      </c>
      <c r="F817" s="20"/>
      <c r="G817" s="20"/>
      <c r="H817" s="184"/>
    </row>
    <row r="818" spans="4:8">
      <c r="D818" s="198">
        <v>1591</v>
      </c>
      <c r="F818" s="20"/>
      <c r="G818" s="20"/>
      <c r="H818" s="184"/>
    </row>
    <row r="819" spans="4:8">
      <c r="D819" s="198">
        <v>1593</v>
      </c>
      <c r="F819" s="20"/>
      <c r="G819" s="20"/>
      <c r="H819" s="184"/>
    </row>
    <row r="820" spans="4:8">
      <c r="D820" s="198">
        <v>1595</v>
      </c>
      <c r="F820" s="20"/>
      <c r="G820" s="20"/>
      <c r="H820" s="184"/>
    </row>
    <row r="821" spans="4:8">
      <c r="D821" s="198">
        <v>1597</v>
      </c>
      <c r="F821" s="20"/>
      <c r="G821" s="20"/>
      <c r="H821" s="184"/>
    </row>
    <row r="822" spans="4:8">
      <c r="D822" s="198">
        <v>1599</v>
      </c>
      <c r="F822" s="20"/>
      <c r="G822" s="20"/>
      <c r="H822" s="184"/>
    </row>
    <row r="823" spans="4:8">
      <c r="D823" s="198">
        <v>1742</v>
      </c>
      <c r="F823" s="20"/>
      <c r="G823" s="20"/>
      <c r="H823" s="184"/>
    </row>
    <row r="824" spans="4:8">
      <c r="D824" s="198">
        <v>1752</v>
      </c>
      <c r="F824" s="20"/>
      <c r="G824" s="20"/>
      <c r="H824" s="184"/>
    </row>
    <row r="825" spans="4:8">
      <c r="D825" s="198">
        <v>1777</v>
      </c>
      <c r="F825" s="20"/>
      <c r="G825" s="20"/>
      <c r="H825" s="184"/>
    </row>
    <row r="826" spans="4:8">
      <c r="D826" s="198">
        <v>1781</v>
      </c>
      <c r="F826" s="20"/>
      <c r="G826" s="20"/>
      <c r="H826" s="184"/>
    </row>
    <row r="827" spans="4:8">
      <c r="D827" s="198">
        <v>1784</v>
      </c>
      <c r="F827" s="20"/>
      <c r="G827" s="20"/>
      <c r="H827" s="184"/>
    </row>
    <row r="828" spans="4:8">
      <c r="D828" s="198">
        <v>1785</v>
      </c>
      <c r="F828" s="20"/>
      <c r="G828" s="20"/>
      <c r="H828" s="184"/>
    </row>
    <row r="829" spans="4:8">
      <c r="D829" s="198">
        <v>1787</v>
      </c>
      <c r="F829" s="20"/>
      <c r="G829" s="20"/>
      <c r="H829" s="184"/>
    </row>
    <row r="830" spans="4:8">
      <c r="D830" s="198">
        <v>1788</v>
      </c>
      <c r="F830" s="20"/>
      <c r="G830" s="20"/>
      <c r="H830" s="184"/>
    </row>
    <row r="831" spans="4:8">
      <c r="D831" s="198">
        <v>1795</v>
      </c>
      <c r="F831" s="20"/>
      <c r="G831" s="20"/>
      <c r="H831" s="184"/>
    </row>
    <row r="832" spans="4:8">
      <c r="D832" s="198">
        <v>1799</v>
      </c>
      <c r="F832" s="20"/>
      <c r="G832" s="20"/>
      <c r="H832" s="184"/>
    </row>
    <row r="833" spans="4:8">
      <c r="D833" s="198">
        <v>1813</v>
      </c>
      <c r="F833" s="20"/>
      <c r="G833" s="20"/>
      <c r="H833" s="184"/>
    </row>
    <row r="834" spans="4:8">
      <c r="D834" s="198">
        <v>1815</v>
      </c>
      <c r="F834" s="20"/>
      <c r="G834" s="20"/>
      <c r="H834" s="184"/>
    </row>
    <row r="835" spans="4:8">
      <c r="D835" s="198">
        <v>2035</v>
      </c>
      <c r="F835" s="20"/>
      <c r="G835" s="20"/>
      <c r="H835" s="184"/>
    </row>
    <row r="836" spans="4:8">
      <c r="D836" s="198">
        <v>2061</v>
      </c>
      <c r="F836" s="20"/>
      <c r="G836" s="20"/>
      <c r="H836" s="184"/>
    </row>
    <row r="837" spans="4:8">
      <c r="D837" s="198">
        <v>2063</v>
      </c>
      <c r="F837" s="20"/>
      <c r="G837" s="20"/>
      <c r="H837" s="184"/>
    </row>
    <row r="838" spans="4:8">
      <c r="D838" s="198">
        <v>2064</v>
      </c>
      <c r="F838" s="20"/>
      <c r="G838" s="20"/>
      <c r="H838" s="184"/>
    </row>
    <row r="839" spans="4:8">
      <c r="D839" s="198">
        <v>2066</v>
      </c>
      <c r="F839" s="20"/>
      <c r="G839" s="20"/>
      <c r="H839" s="184"/>
    </row>
    <row r="840" spans="4:8">
      <c r="D840" s="198">
        <v>2067</v>
      </c>
      <c r="F840" s="20"/>
      <c r="G840" s="20"/>
      <c r="H840" s="184"/>
    </row>
    <row r="841" spans="4:8">
      <c r="D841" s="198">
        <v>2221</v>
      </c>
      <c r="F841" s="20"/>
      <c r="G841" s="20"/>
      <c r="H841" s="184"/>
    </row>
    <row r="842" spans="4:8">
      <c r="D842" s="198">
        <v>2230</v>
      </c>
      <c r="F842" s="20"/>
      <c r="G842" s="20"/>
      <c r="H842" s="184"/>
    </row>
    <row r="843" spans="4:8">
      <c r="D843" s="198">
        <v>2233</v>
      </c>
      <c r="F843" s="20"/>
      <c r="G843" s="20"/>
      <c r="H843" s="184"/>
    </row>
    <row r="844" spans="4:8">
      <c r="D844" s="198">
        <v>2235</v>
      </c>
      <c r="F844" s="20"/>
      <c r="G844" s="20"/>
      <c r="H844" s="184"/>
    </row>
    <row r="845" spans="4:8">
      <c r="D845" s="198">
        <v>2636</v>
      </c>
      <c r="F845" s="20"/>
      <c r="G845" s="20"/>
      <c r="H845" s="184"/>
    </row>
    <row r="846" spans="4:8">
      <c r="D846" s="198">
        <v>2640</v>
      </c>
      <c r="F846" s="20"/>
      <c r="G846" s="20"/>
      <c r="H846" s="184"/>
    </row>
    <row r="847" spans="4:8">
      <c r="D847" s="198">
        <v>2641</v>
      </c>
      <c r="F847" s="20"/>
      <c r="G847" s="20"/>
      <c r="H847" s="184"/>
    </row>
    <row r="848" spans="4:8">
      <c r="D848" s="198">
        <v>2718</v>
      </c>
      <c r="F848" s="20"/>
      <c r="G848" s="20"/>
      <c r="H848" s="184"/>
    </row>
    <row r="849" spans="4:8">
      <c r="D849" s="198">
        <v>2719</v>
      </c>
      <c r="F849" s="20"/>
      <c r="G849" s="20"/>
      <c r="H849" s="184"/>
    </row>
    <row r="850" spans="4:8">
      <c r="D850" s="198">
        <v>2724</v>
      </c>
      <c r="F850" s="20"/>
      <c r="G850" s="20"/>
      <c r="H850" s="184"/>
    </row>
    <row r="851" spans="4:8">
      <c r="D851" s="198">
        <v>2726</v>
      </c>
      <c r="F851" s="20"/>
      <c r="G851" s="20"/>
      <c r="H851" s="184"/>
    </row>
    <row r="852" spans="4:8">
      <c r="D852" s="198">
        <v>2729</v>
      </c>
      <c r="F852" s="20"/>
      <c r="G852" s="20"/>
      <c r="H852" s="184"/>
    </row>
    <row r="853" spans="4:8">
      <c r="D853" s="198">
        <v>2732</v>
      </c>
      <c r="F853" s="20"/>
      <c r="G853" s="20"/>
      <c r="H853" s="184"/>
    </row>
    <row r="854" spans="4:8">
      <c r="D854" s="198">
        <v>2734</v>
      </c>
      <c r="F854" s="20"/>
      <c r="G854" s="20"/>
      <c r="H854" s="184"/>
    </row>
    <row r="855" spans="4:8">
      <c r="D855" s="198">
        <v>2916</v>
      </c>
      <c r="F855" s="20"/>
      <c r="G855" s="20"/>
      <c r="H855" s="184"/>
    </row>
    <row r="856" spans="4:8">
      <c r="D856" s="198">
        <v>2924</v>
      </c>
      <c r="F856" s="20"/>
      <c r="G856" s="20"/>
      <c r="H856" s="184"/>
    </row>
    <row r="857" spans="4:8">
      <c r="D857" s="198">
        <v>2926</v>
      </c>
      <c r="F857" s="20"/>
      <c r="G857" s="20"/>
      <c r="H857" s="184"/>
    </row>
    <row r="858" spans="4:8">
      <c r="D858" s="198">
        <v>3064</v>
      </c>
      <c r="F858" s="20"/>
      <c r="G858" s="20"/>
      <c r="H858" s="184"/>
    </row>
    <row r="859" spans="4:8">
      <c r="D859" s="198">
        <v>3066</v>
      </c>
      <c r="F859" s="20"/>
      <c r="G859" s="20"/>
      <c r="H859" s="184"/>
    </row>
    <row r="860" spans="4:8">
      <c r="D860" s="198">
        <v>3067</v>
      </c>
      <c r="F860" s="20"/>
      <c r="G860" s="20"/>
      <c r="H860" s="184"/>
    </row>
    <row r="861" spans="4:8">
      <c r="D861" s="198">
        <v>3068</v>
      </c>
      <c r="F861" s="20"/>
      <c r="G861" s="20"/>
      <c r="H861" s="184"/>
    </row>
    <row r="862" spans="4:8">
      <c r="D862" s="198">
        <v>3071</v>
      </c>
      <c r="F862" s="20"/>
      <c r="G862" s="20"/>
      <c r="H862" s="184"/>
    </row>
    <row r="863" spans="4:8">
      <c r="D863" s="198">
        <v>3073</v>
      </c>
      <c r="F863" s="20"/>
      <c r="G863" s="20"/>
      <c r="H863" s="184"/>
    </row>
    <row r="864" spans="4:8">
      <c r="D864" s="198">
        <v>3078</v>
      </c>
      <c r="F864" s="20"/>
      <c r="G864" s="20"/>
      <c r="H864" s="184"/>
    </row>
    <row r="865" spans="4:8">
      <c r="D865" s="198">
        <v>3081</v>
      </c>
      <c r="F865" s="20"/>
      <c r="G865" s="20"/>
      <c r="H865" s="184"/>
    </row>
    <row r="866" spans="4:8">
      <c r="D866" s="198">
        <v>3083</v>
      </c>
      <c r="F866" s="20"/>
      <c r="G866" s="20"/>
      <c r="H866" s="184"/>
    </row>
    <row r="867" spans="4:8">
      <c r="D867" s="198">
        <v>3085</v>
      </c>
      <c r="F867" s="20"/>
      <c r="G867" s="20"/>
      <c r="H867" s="184"/>
    </row>
    <row r="868" spans="4:8">
      <c r="D868" s="198">
        <v>3086</v>
      </c>
      <c r="F868" s="20"/>
      <c r="G868" s="20"/>
      <c r="H868" s="184"/>
    </row>
    <row r="869" spans="4:8">
      <c r="D869" s="198">
        <v>3088</v>
      </c>
      <c r="F869" s="20"/>
      <c r="G869" s="20"/>
      <c r="H869" s="184"/>
    </row>
    <row r="870" spans="4:8">
      <c r="D870" s="198">
        <v>3089</v>
      </c>
      <c r="F870" s="20"/>
      <c r="G870" s="20"/>
      <c r="H870" s="184"/>
    </row>
    <row r="871" spans="4:8">
      <c r="D871" s="198">
        <v>3092</v>
      </c>
      <c r="F871" s="20"/>
      <c r="G871" s="20"/>
      <c r="H871" s="184"/>
    </row>
    <row r="872" spans="4:8">
      <c r="D872" s="198">
        <v>3093</v>
      </c>
      <c r="F872" s="20"/>
      <c r="G872" s="20"/>
      <c r="H872" s="184"/>
    </row>
    <row r="873" spans="4:8">
      <c r="D873" s="198">
        <v>3095</v>
      </c>
      <c r="F873" s="20"/>
      <c r="G873" s="20"/>
      <c r="H873" s="184"/>
    </row>
    <row r="874" spans="4:8">
      <c r="D874" s="198">
        <v>3105</v>
      </c>
      <c r="F874" s="20"/>
      <c r="G874" s="20"/>
      <c r="H874" s="184"/>
    </row>
    <row r="875" spans="4:8">
      <c r="D875" s="198">
        <v>3114</v>
      </c>
      <c r="F875" s="20"/>
      <c r="G875" s="20"/>
      <c r="H875" s="184"/>
    </row>
    <row r="876" spans="4:8">
      <c r="D876" s="198">
        <v>3115</v>
      </c>
      <c r="F876" s="20"/>
      <c r="G876" s="20"/>
      <c r="H876" s="184"/>
    </row>
    <row r="877" spans="4:8">
      <c r="D877" s="198">
        <v>3118</v>
      </c>
      <c r="F877" s="20"/>
      <c r="G877" s="20"/>
      <c r="H877" s="184"/>
    </row>
    <row r="878" spans="4:8">
      <c r="D878" s="198">
        <v>3122</v>
      </c>
      <c r="F878" s="20"/>
      <c r="G878" s="20"/>
      <c r="H878" s="184"/>
    </row>
    <row r="879" spans="4:8">
      <c r="D879" s="198">
        <v>3126</v>
      </c>
      <c r="F879" s="20"/>
      <c r="G879" s="20"/>
      <c r="H879" s="184"/>
    </row>
    <row r="880" spans="4:8">
      <c r="D880" s="198">
        <v>3128</v>
      </c>
      <c r="F880" s="20"/>
      <c r="G880" s="20"/>
      <c r="H880" s="184"/>
    </row>
    <row r="881" spans="4:8">
      <c r="D881" s="198">
        <v>3131</v>
      </c>
      <c r="F881" s="20"/>
      <c r="G881" s="20"/>
      <c r="H881" s="184"/>
    </row>
    <row r="882" spans="4:8">
      <c r="D882" s="198">
        <v>3141</v>
      </c>
      <c r="F882" s="20"/>
      <c r="G882" s="20"/>
      <c r="H882" s="184"/>
    </row>
    <row r="883" spans="4:8">
      <c r="D883" s="198">
        <v>3144</v>
      </c>
      <c r="F883" s="20"/>
      <c r="G883" s="20"/>
      <c r="H883" s="184"/>
    </row>
    <row r="884" spans="4:8">
      <c r="D884" s="198">
        <v>3152</v>
      </c>
      <c r="F884" s="20"/>
      <c r="G884" s="20"/>
      <c r="H884" s="184"/>
    </row>
    <row r="885" spans="4:8">
      <c r="D885" s="198">
        <v>3162</v>
      </c>
      <c r="F885" s="20"/>
      <c r="G885" s="20"/>
      <c r="H885" s="184"/>
    </row>
    <row r="886" spans="4:8">
      <c r="D886" s="198">
        <v>3163</v>
      </c>
      <c r="F886" s="20"/>
      <c r="G886" s="20"/>
      <c r="H886" s="184"/>
    </row>
    <row r="887" spans="4:8">
      <c r="D887" s="198">
        <v>3169</v>
      </c>
      <c r="F887" s="20"/>
      <c r="G887" s="20"/>
      <c r="H887" s="184"/>
    </row>
    <row r="888" spans="4:8">
      <c r="D888" s="198">
        <v>3171</v>
      </c>
      <c r="F888" s="20"/>
      <c r="G888" s="20"/>
      <c r="H888" s="184"/>
    </row>
    <row r="889" spans="4:8">
      <c r="D889" s="198">
        <v>3176</v>
      </c>
      <c r="F889" s="20"/>
      <c r="G889" s="20"/>
      <c r="H889" s="184"/>
    </row>
    <row r="890" spans="4:8">
      <c r="D890" s="198">
        <v>3188</v>
      </c>
      <c r="F890" s="20"/>
      <c r="G890" s="20"/>
      <c r="H890" s="184"/>
    </row>
    <row r="891" spans="4:8">
      <c r="D891" s="198">
        <v>3191</v>
      </c>
      <c r="F891" s="20"/>
      <c r="G891" s="20"/>
      <c r="H891" s="184"/>
    </row>
    <row r="892" spans="4:8">
      <c r="D892" s="198">
        <v>3202</v>
      </c>
      <c r="F892" s="20"/>
      <c r="G892" s="20"/>
      <c r="H892" s="184"/>
    </row>
    <row r="893" spans="4:8">
      <c r="D893" s="198">
        <v>3205</v>
      </c>
      <c r="F893" s="20"/>
      <c r="G893" s="20"/>
      <c r="H893" s="184"/>
    </row>
    <row r="894" spans="4:8">
      <c r="D894" s="198">
        <v>3206</v>
      </c>
      <c r="F894" s="20"/>
      <c r="G894" s="20"/>
      <c r="H894" s="184"/>
    </row>
    <row r="895" spans="4:8">
      <c r="D895" s="198">
        <v>3207</v>
      </c>
      <c r="F895" s="20"/>
      <c r="G895" s="20"/>
      <c r="H895" s="184"/>
    </row>
    <row r="896" spans="4:8">
      <c r="D896" s="198">
        <v>3211</v>
      </c>
      <c r="F896" s="20"/>
      <c r="G896" s="20"/>
      <c r="H896" s="184"/>
    </row>
    <row r="897" spans="4:8">
      <c r="D897" s="198">
        <v>3213</v>
      </c>
      <c r="F897" s="20"/>
      <c r="G897" s="20"/>
      <c r="H897" s="184"/>
    </row>
    <row r="898" spans="4:8">
      <c r="D898" s="198">
        <v>3217</v>
      </c>
      <c r="F898" s="20"/>
      <c r="G898" s="20"/>
      <c r="H898" s="184"/>
    </row>
    <row r="899" spans="4:8">
      <c r="D899" s="198">
        <v>3218</v>
      </c>
      <c r="F899" s="20"/>
      <c r="G899" s="20"/>
      <c r="H899" s="184"/>
    </row>
    <row r="900" spans="4:8">
      <c r="D900" s="198">
        <v>3219</v>
      </c>
      <c r="F900" s="20"/>
      <c r="G900" s="20"/>
      <c r="H900" s="184"/>
    </row>
    <row r="901" spans="4:8">
      <c r="D901" s="198">
        <v>3221</v>
      </c>
      <c r="F901" s="20"/>
      <c r="G901" s="20"/>
      <c r="H901" s="184"/>
    </row>
    <row r="902" spans="4:8">
      <c r="D902" s="198">
        <v>3224</v>
      </c>
      <c r="F902" s="20"/>
      <c r="G902" s="20"/>
      <c r="H902" s="184"/>
    </row>
    <row r="903" spans="4:8">
      <c r="D903" s="198">
        <v>3226</v>
      </c>
      <c r="F903" s="20"/>
      <c r="G903" s="20"/>
      <c r="H903" s="184"/>
    </row>
    <row r="904" spans="4:8">
      <c r="D904" s="198">
        <v>3227</v>
      </c>
      <c r="F904" s="20"/>
      <c r="G904" s="20"/>
      <c r="H904" s="184"/>
    </row>
    <row r="905" spans="4:8">
      <c r="D905" s="198">
        <v>3228</v>
      </c>
      <c r="F905" s="20"/>
      <c r="G905" s="20"/>
      <c r="H905" s="184"/>
    </row>
    <row r="906" spans="4:8">
      <c r="D906" s="198">
        <v>3230</v>
      </c>
      <c r="F906" s="20"/>
      <c r="G906" s="20"/>
      <c r="H906" s="184"/>
    </row>
    <row r="907" spans="4:8">
      <c r="D907" s="198">
        <v>3232</v>
      </c>
      <c r="F907" s="20"/>
      <c r="G907" s="20"/>
      <c r="H907" s="184"/>
    </row>
    <row r="908" spans="4:8">
      <c r="D908" s="198">
        <v>3234</v>
      </c>
      <c r="F908" s="20"/>
      <c r="G908" s="20"/>
      <c r="H908" s="184"/>
    </row>
    <row r="909" spans="4:8">
      <c r="D909" s="198">
        <v>3236</v>
      </c>
      <c r="F909" s="20"/>
      <c r="G909" s="20"/>
      <c r="H909" s="184"/>
    </row>
    <row r="910" spans="4:8">
      <c r="D910" s="198">
        <v>3252</v>
      </c>
      <c r="F910" s="20"/>
      <c r="G910" s="20"/>
      <c r="H910" s="184"/>
    </row>
    <row r="911" spans="4:8">
      <c r="D911" s="198">
        <v>3259</v>
      </c>
      <c r="F911" s="20"/>
      <c r="G911" s="20"/>
      <c r="H911" s="184"/>
    </row>
    <row r="912" spans="4:8">
      <c r="D912" s="198">
        <v>3260</v>
      </c>
      <c r="F912" s="20"/>
      <c r="G912" s="20"/>
      <c r="H912" s="184"/>
    </row>
    <row r="913" spans="4:8">
      <c r="D913" s="198">
        <v>3264</v>
      </c>
      <c r="F913" s="20"/>
      <c r="G913" s="20"/>
      <c r="H913" s="184"/>
    </row>
    <row r="914" spans="4:8">
      <c r="D914" s="198">
        <v>3265</v>
      </c>
      <c r="F914" s="20"/>
      <c r="G914" s="20"/>
      <c r="H914" s="184"/>
    </row>
    <row r="915" spans="4:8">
      <c r="D915" s="198">
        <v>3268</v>
      </c>
      <c r="F915" s="20"/>
      <c r="G915" s="20"/>
      <c r="H915" s="184"/>
    </row>
    <row r="916" spans="4:8">
      <c r="D916" s="198">
        <v>3272</v>
      </c>
      <c r="F916" s="20"/>
      <c r="G916" s="20"/>
      <c r="H916" s="184"/>
    </row>
    <row r="917" spans="4:8">
      <c r="D917" s="198">
        <v>3276</v>
      </c>
      <c r="F917" s="20"/>
      <c r="G917" s="20"/>
      <c r="H917" s="184"/>
    </row>
    <row r="918" spans="4:8">
      <c r="D918" s="198">
        <v>3284</v>
      </c>
      <c r="F918" s="20"/>
      <c r="G918" s="20"/>
      <c r="H918" s="184"/>
    </row>
    <row r="919" spans="4:8">
      <c r="D919" s="198">
        <v>3285</v>
      </c>
      <c r="F919" s="20"/>
      <c r="G919" s="20"/>
      <c r="H919" s="184"/>
    </row>
    <row r="920" spans="4:8">
      <c r="D920" s="198">
        <v>3287</v>
      </c>
      <c r="F920" s="20"/>
      <c r="G920" s="20"/>
      <c r="H920" s="184"/>
    </row>
    <row r="921" spans="4:8">
      <c r="D921" s="198">
        <v>3288</v>
      </c>
      <c r="F921" s="20"/>
      <c r="G921" s="20"/>
      <c r="H921" s="184"/>
    </row>
    <row r="922" spans="4:8">
      <c r="D922" s="198">
        <v>3289</v>
      </c>
      <c r="F922" s="20"/>
      <c r="G922" s="20"/>
      <c r="H922" s="184"/>
    </row>
    <row r="923" spans="4:8">
      <c r="D923" s="198">
        <v>3290</v>
      </c>
      <c r="F923" s="20"/>
      <c r="G923" s="20"/>
      <c r="H923" s="184"/>
    </row>
    <row r="924" spans="4:8">
      <c r="D924" s="198">
        <v>3291</v>
      </c>
      <c r="F924" s="20"/>
      <c r="G924" s="20"/>
      <c r="H924" s="184"/>
    </row>
    <row r="925" spans="4:8">
      <c r="D925" s="198">
        <v>3293</v>
      </c>
      <c r="F925" s="20"/>
      <c r="G925" s="20"/>
      <c r="H925" s="184"/>
    </row>
    <row r="926" spans="4:8">
      <c r="D926" s="198">
        <v>3294</v>
      </c>
      <c r="F926" s="20"/>
      <c r="G926" s="20"/>
      <c r="H926" s="184"/>
    </row>
    <row r="927" spans="4:8">
      <c r="D927" s="198">
        <v>3297</v>
      </c>
      <c r="F927" s="20"/>
      <c r="G927" s="20"/>
      <c r="H927" s="184"/>
    </row>
    <row r="928" spans="4:8">
      <c r="D928" s="198">
        <v>3299</v>
      </c>
      <c r="F928" s="20"/>
      <c r="G928" s="20"/>
      <c r="H928" s="184"/>
    </row>
    <row r="929" spans="4:8">
      <c r="D929" s="198">
        <v>3303</v>
      </c>
      <c r="F929" s="20"/>
      <c r="G929" s="20"/>
      <c r="H929" s="184"/>
    </row>
    <row r="930" spans="4:8">
      <c r="D930" s="198">
        <v>3306</v>
      </c>
      <c r="F930" s="20"/>
      <c r="G930" s="20"/>
      <c r="H930" s="184"/>
    </row>
    <row r="931" spans="4:8">
      <c r="D931" s="198">
        <v>3310</v>
      </c>
      <c r="F931" s="20"/>
      <c r="G931" s="20"/>
      <c r="H931" s="184"/>
    </row>
    <row r="932" spans="4:8">
      <c r="D932" s="198">
        <v>3313</v>
      </c>
      <c r="F932" s="20"/>
      <c r="G932" s="20"/>
      <c r="H932" s="184"/>
    </row>
    <row r="933" spans="4:8">
      <c r="D933" s="198">
        <v>3317</v>
      </c>
      <c r="F933" s="20"/>
      <c r="G933" s="20"/>
      <c r="H933" s="184"/>
    </row>
    <row r="934" spans="4:8">
      <c r="D934" s="198">
        <v>3322</v>
      </c>
      <c r="F934" s="20"/>
      <c r="G934" s="20"/>
      <c r="H934" s="184"/>
    </row>
    <row r="935" spans="4:8">
      <c r="D935" s="198">
        <v>3323</v>
      </c>
      <c r="F935" s="20"/>
      <c r="G935" s="20"/>
      <c r="H935" s="184"/>
    </row>
    <row r="936" spans="4:8">
      <c r="D936" s="198">
        <v>3324</v>
      </c>
      <c r="F936" s="20"/>
      <c r="G936" s="20"/>
      <c r="H936" s="184"/>
    </row>
    <row r="937" spans="4:8">
      <c r="D937" s="198">
        <v>3325</v>
      </c>
      <c r="F937" s="20"/>
      <c r="G937" s="20"/>
      <c r="H937" s="184"/>
    </row>
    <row r="938" spans="4:8">
      <c r="D938" s="198">
        <v>3332</v>
      </c>
      <c r="F938" s="20"/>
      <c r="G938" s="20"/>
      <c r="H938" s="184"/>
    </row>
    <row r="939" spans="4:8">
      <c r="D939" s="198">
        <v>3339</v>
      </c>
      <c r="F939" s="20"/>
      <c r="G939" s="20"/>
      <c r="H939" s="184"/>
    </row>
    <row r="940" spans="4:8">
      <c r="D940" s="198">
        <v>3354</v>
      </c>
      <c r="F940" s="20"/>
      <c r="G940" s="20"/>
      <c r="H940" s="184"/>
    </row>
    <row r="941" spans="4:8">
      <c r="D941" s="198">
        <v>3360</v>
      </c>
      <c r="F941" s="20"/>
      <c r="G941" s="20"/>
      <c r="H941" s="184"/>
    </row>
    <row r="942" spans="4:8">
      <c r="D942" s="198">
        <v>3362</v>
      </c>
      <c r="F942" s="20"/>
      <c r="G942" s="20"/>
      <c r="H942" s="184"/>
    </row>
    <row r="943" spans="4:8">
      <c r="D943" s="198">
        <v>3363</v>
      </c>
      <c r="F943" s="20"/>
      <c r="G943" s="20"/>
      <c r="H943" s="184"/>
    </row>
    <row r="944" spans="4:8">
      <c r="D944" s="198">
        <v>3372</v>
      </c>
      <c r="F944" s="20"/>
      <c r="G944" s="20"/>
      <c r="H944" s="184"/>
    </row>
    <row r="945" spans="4:8">
      <c r="D945" s="198">
        <v>3373</v>
      </c>
      <c r="F945" s="20"/>
      <c r="G945" s="20"/>
      <c r="H945" s="184"/>
    </row>
    <row r="946" spans="4:8">
      <c r="D946" s="198">
        <v>3374</v>
      </c>
      <c r="F946" s="20"/>
      <c r="G946" s="20"/>
      <c r="H946" s="184"/>
    </row>
    <row r="947" spans="4:8">
      <c r="D947" s="198">
        <v>3379</v>
      </c>
      <c r="F947" s="20"/>
      <c r="G947" s="20"/>
      <c r="H947" s="184"/>
    </row>
    <row r="948" spans="4:8">
      <c r="D948" s="198">
        <v>3388</v>
      </c>
      <c r="F948" s="20"/>
      <c r="G948" s="20"/>
      <c r="H948" s="184"/>
    </row>
    <row r="949" spans="4:8">
      <c r="D949" s="198">
        <v>3390</v>
      </c>
      <c r="F949" s="20"/>
      <c r="G949" s="20"/>
      <c r="H949" s="184"/>
    </row>
    <row r="950" spans="4:8">
      <c r="D950" s="198">
        <v>3402</v>
      </c>
      <c r="F950" s="20"/>
      <c r="G950" s="20"/>
      <c r="H950" s="184"/>
    </row>
    <row r="951" spans="4:8">
      <c r="D951" s="198">
        <v>3428</v>
      </c>
      <c r="F951" s="20"/>
      <c r="G951" s="20"/>
      <c r="H951" s="184"/>
    </row>
    <row r="952" spans="4:8">
      <c r="D952" s="198">
        <v>3431</v>
      </c>
      <c r="F952" s="20"/>
      <c r="G952" s="20"/>
      <c r="H952" s="184"/>
    </row>
    <row r="953" spans="4:8">
      <c r="D953" s="198">
        <v>3434</v>
      </c>
      <c r="F953" s="20"/>
      <c r="G953" s="20"/>
      <c r="H953" s="184"/>
    </row>
    <row r="954" spans="4:8">
      <c r="D954" s="198">
        <v>3438</v>
      </c>
      <c r="F954" s="20"/>
      <c r="G954" s="20"/>
      <c r="H954" s="184"/>
    </row>
    <row r="955" spans="4:8">
      <c r="D955" s="198">
        <v>3441</v>
      </c>
      <c r="F955" s="20"/>
      <c r="G955" s="20"/>
      <c r="H955" s="184"/>
    </row>
    <row r="956" spans="4:8">
      <c r="D956" s="198">
        <v>3444</v>
      </c>
      <c r="F956" s="20"/>
      <c r="G956" s="20"/>
      <c r="H956" s="184"/>
    </row>
    <row r="957" spans="4:8">
      <c r="D957" s="198">
        <v>3452</v>
      </c>
      <c r="F957" s="20"/>
      <c r="G957" s="20"/>
      <c r="H957" s="184"/>
    </row>
    <row r="958" spans="4:8">
      <c r="D958" s="198">
        <v>3455</v>
      </c>
      <c r="F958" s="20"/>
      <c r="G958" s="20"/>
      <c r="H958" s="184"/>
    </row>
    <row r="959" spans="4:8">
      <c r="D959" s="198">
        <v>3465</v>
      </c>
      <c r="F959" s="20"/>
      <c r="G959" s="20"/>
      <c r="H959" s="184"/>
    </row>
    <row r="960" spans="4:8">
      <c r="D960" s="198">
        <v>3466</v>
      </c>
      <c r="F960" s="20"/>
      <c r="G960" s="20"/>
      <c r="H960" s="184"/>
    </row>
    <row r="961" spans="4:8">
      <c r="D961" s="198">
        <v>3479</v>
      </c>
      <c r="F961" s="20"/>
      <c r="G961" s="20"/>
      <c r="H961" s="184"/>
    </row>
    <row r="962" spans="4:8">
      <c r="D962" s="198">
        <v>3483</v>
      </c>
      <c r="F962" s="20"/>
      <c r="G962" s="20"/>
      <c r="H962" s="184"/>
    </row>
    <row r="963" spans="4:8">
      <c r="D963" s="198">
        <v>3484</v>
      </c>
      <c r="F963" s="20"/>
      <c r="G963" s="20"/>
      <c r="H963" s="184"/>
    </row>
    <row r="964" spans="4:8">
      <c r="D964" s="198">
        <v>3489</v>
      </c>
      <c r="F964" s="20"/>
      <c r="G964" s="20"/>
      <c r="H964" s="184"/>
    </row>
    <row r="965" spans="4:8">
      <c r="D965" s="198">
        <v>3490</v>
      </c>
      <c r="F965" s="20"/>
      <c r="G965" s="20"/>
      <c r="H965" s="184"/>
    </row>
    <row r="966" spans="4:8">
      <c r="D966" s="198">
        <v>3491</v>
      </c>
      <c r="F966" s="20"/>
      <c r="G966" s="20"/>
      <c r="H966" s="184"/>
    </row>
    <row r="967" spans="4:8">
      <c r="D967" s="198">
        <v>3492</v>
      </c>
      <c r="F967" s="20"/>
      <c r="G967" s="20"/>
      <c r="H967" s="184"/>
    </row>
    <row r="968" spans="4:8">
      <c r="D968" s="198">
        <v>3498</v>
      </c>
      <c r="F968" s="20"/>
      <c r="G968" s="20"/>
      <c r="H968" s="184"/>
    </row>
    <row r="969" spans="4:8">
      <c r="D969" s="198">
        <v>3499</v>
      </c>
      <c r="F969" s="20"/>
      <c r="G969" s="20"/>
      <c r="H969" s="184"/>
    </row>
    <row r="970" spans="4:8">
      <c r="D970" s="198">
        <v>3508</v>
      </c>
      <c r="F970" s="20"/>
      <c r="G970" s="20"/>
      <c r="H970" s="184"/>
    </row>
    <row r="971" spans="4:8">
      <c r="D971" s="198">
        <v>3511</v>
      </c>
      <c r="F971" s="20"/>
      <c r="G971" s="20"/>
      <c r="H971" s="184"/>
    </row>
    <row r="972" spans="4:8">
      <c r="D972" s="198">
        <v>3512</v>
      </c>
      <c r="F972" s="20"/>
      <c r="G972" s="20"/>
      <c r="H972" s="184"/>
    </row>
    <row r="973" spans="4:8">
      <c r="D973" s="198">
        <v>3516</v>
      </c>
      <c r="F973" s="20"/>
      <c r="G973" s="20"/>
      <c r="H973" s="184"/>
    </row>
    <row r="974" spans="4:8">
      <c r="D974" s="198">
        <v>3520</v>
      </c>
      <c r="F974" s="20"/>
      <c r="G974" s="20"/>
      <c r="H974" s="184"/>
    </row>
    <row r="975" spans="4:8">
      <c r="D975" s="198">
        <v>3521</v>
      </c>
      <c r="F975" s="20"/>
      <c r="G975" s="20"/>
      <c r="H975" s="184"/>
    </row>
    <row r="976" spans="4:8">
      <c r="D976" s="198">
        <v>3522</v>
      </c>
      <c r="F976" s="20"/>
      <c r="G976" s="20"/>
      <c r="H976" s="184"/>
    </row>
    <row r="977" spans="4:8">
      <c r="D977" s="198">
        <v>3523</v>
      </c>
      <c r="F977" s="20"/>
      <c r="G977" s="20"/>
      <c r="H977" s="184"/>
    </row>
    <row r="978" spans="4:8">
      <c r="D978" s="198">
        <v>3526</v>
      </c>
      <c r="F978" s="20"/>
      <c r="G978" s="20"/>
      <c r="H978" s="184"/>
    </row>
    <row r="979" spans="4:8">
      <c r="D979" s="198">
        <v>3527</v>
      </c>
      <c r="F979" s="20"/>
      <c r="G979" s="20"/>
      <c r="H979" s="184"/>
    </row>
    <row r="980" spans="4:8">
      <c r="D980" s="198">
        <v>3528</v>
      </c>
      <c r="F980" s="20"/>
      <c r="G980" s="20"/>
      <c r="H980" s="184"/>
    </row>
    <row r="981" spans="4:8">
      <c r="D981" s="198">
        <v>3529</v>
      </c>
      <c r="F981" s="20"/>
      <c r="G981" s="20"/>
      <c r="H981" s="184"/>
    </row>
    <row r="982" spans="4:8">
      <c r="D982" s="198">
        <v>3531</v>
      </c>
      <c r="F982" s="20"/>
      <c r="G982" s="20"/>
      <c r="H982" s="184"/>
    </row>
    <row r="983" spans="4:8">
      <c r="D983" s="198">
        <v>3537</v>
      </c>
      <c r="F983" s="20"/>
      <c r="G983" s="20"/>
      <c r="H983" s="184"/>
    </row>
    <row r="984" spans="4:8">
      <c r="D984" s="198">
        <v>3540</v>
      </c>
      <c r="F984" s="20"/>
      <c r="G984" s="20"/>
      <c r="H984" s="184"/>
    </row>
    <row r="985" spans="4:8">
      <c r="D985" s="198">
        <v>3541</v>
      </c>
      <c r="F985" s="20"/>
      <c r="G985" s="20"/>
      <c r="H985" s="184"/>
    </row>
    <row r="986" spans="4:8">
      <c r="D986" s="198">
        <v>3546</v>
      </c>
      <c r="F986" s="20"/>
      <c r="G986" s="20"/>
      <c r="H986" s="184"/>
    </row>
    <row r="987" spans="4:8">
      <c r="D987" s="198">
        <v>3548</v>
      </c>
      <c r="F987" s="20"/>
      <c r="G987" s="20"/>
      <c r="H987" s="184"/>
    </row>
    <row r="988" spans="4:8">
      <c r="D988" s="198">
        <v>3551</v>
      </c>
      <c r="F988" s="20"/>
      <c r="G988" s="20"/>
      <c r="H988" s="184"/>
    </row>
    <row r="989" spans="4:8">
      <c r="D989" s="198">
        <v>3552</v>
      </c>
      <c r="F989" s="20"/>
      <c r="G989" s="20"/>
      <c r="H989" s="184"/>
    </row>
    <row r="990" spans="4:8">
      <c r="D990" s="198">
        <v>3553</v>
      </c>
      <c r="F990" s="20"/>
      <c r="G990" s="20"/>
      <c r="H990" s="184"/>
    </row>
    <row r="991" spans="4:8">
      <c r="D991" s="198">
        <v>3555</v>
      </c>
      <c r="F991" s="20"/>
      <c r="G991" s="20"/>
      <c r="H991" s="184"/>
    </row>
    <row r="992" spans="4:8">
      <c r="D992" s="198">
        <v>3556</v>
      </c>
      <c r="F992" s="20"/>
      <c r="G992" s="20"/>
      <c r="H992" s="184"/>
    </row>
    <row r="993" spans="4:8">
      <c r="D993" s="198">
        <v>3558</v>
      </c>
      <c r="F993" s="20"/>
      <c r="G993" s="20"/>
      <c r="H993" s="184"/>
    </row>
    <row r="994" spans="4:8">
      <c r="D994" s="198">
        <v>3562</v>
      </c>
      <c r="F994" s="20"/>
      <c r="G994" s="20"/>
      <c r="H994" s="184"/>
    </row>
    <row r="995" spans="4:8">
      <c r="D995" s="198">
        <v>3563</v>
      </c>
      <c r="F995" s="20"/>
      <c r="G995" s="20"/>
      <c r="H995" s="184"/>
    </row>
    <row r="996" spans="4:8">
      <c r="D996" s="198">
        <v>3564</v>
      </c>
      <c r="F996" s="20"/>
      <c r="G996" s="20"/>
      <c r="H996" s="184"/>
    </row>
    <row r="997" spans="4:8">
      <c r="D997" s="198">
        <v>3567</v>
      </c>
      <c r="F997" s="20"/>
      <c r="G997" s="20"/>
      <c r="H997" s="184"/>
    </row>
    <row r="998" spans="4:8">
      <c r="D998" s="198">
        <v>3570</v>
      </c>
      <c r="F998" s="20"/>
      <c r="G998" s="20"/>
      <c r="H998" s="184"/>
    </row>
    <row r="999" spans="4:8">
      <c r="D999" s="198">
        <v>3577</v>
      </c>
      <c r="F999" s="20"/>
      <c r="G999" s="20"/>
      <c r="H999" s="184"/>
    </row>
    <row r="1000" spans="4:8">
      <c r="D1000" s="198">
        <v>3580</v>
      </c>
      <c r="F1000" s="20"/>
      <c r="G1000" s="20"/>
      <c r="H1000" s="184"/>
    </row>
    <row r="1001" spans="4:8">
      <c r="D1001" s="198">
        <v>3581</v>
      </c>
      <c r="F1001" s="20"/>
      <c r="G1001" s="20"/>
      <c r="H1001" s="184"/>
    </row>
    <row r="1002" spans="4:8">
      <c r="D1002" s="198">
        <v>3587</v>
      </c>
      <c r="F1002" s="20"/>
      <c r="G1002" s="20"/>
      <c r="H1002" s="184"/>
    </row>
    <row r="1003" spans="4:8">
      <c r="D1003" s="198">
        <v>3594</v>
      </c>
      <c r="F1003" s="20"/>
      <c r="G1003" s="20"/>
      <c r="H1003" s="184"/>
    </row>
    <row r="1004" spans="4:8">
      <c r="D1004" s="198">
        <v>3609</v>
      </c>
      <c r="F1004" s="20"/>
      <c r="G1004" s="20"/>
      <c r="H1004" s="184"/>
    </row>
    <row r="1005" spans="4:8">
      <c r="D1005" s="198">
        <v>3611</v>
      </c>
      <c r="F1005" s="20"/>
      <c r="G1005" s="20"/>
      <c r="H1005" s="184"/>
    </row>
    <row r="1006" spans="4:8">
      <c r="D1006" s="198">
        <v>3615</v>
      </c>
      <c r="F1006" s="20"/>
      <c r="G1006" s="20"/>
      <c r="H1006" s="184"/>
    </row>
    <row r="1007" spans="4:8">
      <c r="D1007" s="198">
        <v>3623</v>
      </c>
      <c r="F1007" s="20"/>
      <c r="G1007" s="20"/>
      <c r="H1007" s="184"/>
    </row>
    <row r="1008" spans="4:8">
      <c r="D1008" s="198">
        <v>3624</v>
      </c>
      <c r="F1008" s="20"/>
      <c r="G1008" s="20"/>
      <c r="H1008" s="184"/>
    </row>
    <row r="1009" spans="4:8">
      <c r="D1009" s="198">
        <v>3625</v>
      </c>
      <c r="F1009" s="20"/>
      <c r="G1009" s="20"/>
      <c r="H1009" s="184"/>
    </row>
    <row r="1010" spans="4:8">
      <c r="D1010" s="198">
        <v>3628</v>
      </c>
      <c r="F1010" s="20"/>
      <c r="G1010" s="20"/>
      <c r="H1010" s="184"/>
    </row>
    <row r="1011" spans="4:8">
      <c r="D1011" s="198">
        <v>3629</v>
      </c>
      <c r="F1011" s="20"/>
      <c r="G1011" s="20"/>
      <c r="H1011" s="184"/>
    </row>
    <row r="1012" spans="4:8">
      <c r="D1012" s="198">
        <v>3630</v>
      </c>
      <c r="F1012" s="20"/>
      <c r="G1012" s="20"/>
      <c r="H1012" s="184"/>
    </row>
    <row r="1013" spans="4:8">
      <c r="D1013" s="198">
        <v>3631</v>
      </c>
      <c r="F1013" s="20"/>
      <c r="G1013" s="20"/>
      <c r="H1013" s="184"/>
    </row>
    <row r="1014" spans="4:8">
      <c r="D1014" s="198">
        <v>3632</v>
      </c>
      <c r="F1014" s="20"/>
      <c r="G1014" s="20"/>
      <c r="H1014" s="184"/>
    </row>
    <row r="1015" spans="4:8">
      <c r="D1015" s="198">
        <v>3642</v>
      </c>
      <c r="F1015" s="20"/>
      <c r="G1015" s="20"/>
      <c r="H1015" s="184"/>
    </row>
    <row r="1016" spans="4:8">
      <c r="D1016" s="198">
        <v>3646</v>
      </c>
      <c r="F1016" s="20"/>
      <c r="G1016" s="20"/>
      <c r="H1016" s="184"/>
    </row>
    <row r="1017" spans="4:8">
      <c r="D1017" s="198">
        <v>3652</v>
      </c>
      <c r="F1017" s="20"/>
      <c r="G1017" s="20"/>
      <c r="H1017" s="184"/>
    </row>
    <row r="1018" spans="4:8">
      <c r="D1018" s="198">
        <v>3658</v>
      </c>
      <c r="F1018" s="20"/>
      <c r="G1018" s="20"/>
      <c r="H1018" s="184"/>
    </row>
    <row r="1019" spans="4:8">
      <c r="D1019" s="198">
        <v>3662</v>
      </c>
      <c r="F1019" s="20"/>
      <c r="G1019" s="20"/>
      <c r="H1019" s="184"/>
    </row>
    <row r="1020" spans="4:8">
      <c r="D1020" s="198">
        <v>3663</v>
      </c>
      <c r="F1020" s="20"/>
      <c r="G1020" s="20"/>
      <c r="H1020" s="184"/>
    </row>
    <row r="1021" spans="4:8">
      <c r="D1021" s="198">
        <v>3664</v>
      </c>
      <c r="F1021" s="20"/>
      <c r="G1021" s="20"/>
      <c r="H1021" s="184"/>
    </row>
    <row r="1022" spans="4:8">
      <c r="D1022" s="198">
        <v>3666</v>
      </c>
      <c r="F1022" s="20"/>
      <c r="G1022" s="20"/>
      <c r="H1022" s="184"/>
    </row>
    <row r="1023" spans="4:8">
      <c r="D1023" s="198">
        <v>3672</v>
      </c>
      <c r="F1023" s="20"/>
      <c r="G1023" s="20"/>
      <c r="H1023" s="184"/>
    </row>
    <row r="1024" spans="4:8">
      <c r="D1024" s="198">
        <v>3675</v>
      </c>
      <c r="F1024" s="20"/>
      <c r="G1024" s="20"/>
      <c r="H1024" s="184"/>
    </row>
    <row r="1025" spans="4:8">
      <c r="D1025" s="198">
        <v>3680</v>
      </c>
      <c r="F1025" s="20"/>
      <c r="G1025" s="20"/>
      <c r="H1025" s="184"/>
    </row>
    <row r="1026" spans="4:8">
      <c r="D1026" s="198">
        <v>3684</v>
      </c>
      <c r="F1026" s="20"/>
      <c r="G1026" s="20"/>
      <c r="H1026" s="184"/>
    </row>
    <row r="1027" spans="4:8">
      <c r="D1027" s="198">
        <v>3685</v>
      </c>
      <c r="F1027" s="20"/>
      <c r="G1027" s="20"/>
      <c r="H1027" s="184"/>
    </row>
    <row r="1028" spans="4:8">
      <c r="D1028" s="198">
        <v>3687</v>
      </c>
      <c r="F1028" s="20"/>
      <c r="G1028" s="20"/>
      <c r="H1028" s="184"/>
    </row>
    <row r="1029" spans="4:8">
      <c r="D1029" s="198">
        <v>3689</v>
      </c>
      <c r="F1029" s="20"/>
      <c r="G1029" s="20"/>
      <c r="H1029" s="184"/>
    </row>
    <row r="1030" spans="4:8">
      <c r="D1030" s="198">
        <v>3691</v>
      </c>
      <c r="F1030" s="20"/>
      <c r="G1030" s="20"/>
      <c r="H1030" s="184"/>
    </row>
    <row r="1031" spans="4:8">
      <c r="D1031" s="198">
        <v>3693</v>
      </c>
      <c r="F1031" s="20"/>
      <c r="G1031" s="20"/>
      <c r="H1031" s="184"/>
    </row>
    <row r="1032" spans="4:8">
      <c r="D1032" s="198">
        <v>3707</v>
      </c>
      <c r="F1032" s="20"/>
      <c r="G1032" s="20"/>
      <c r="H1032" s="184"/>
    </row>
    <row r="1033" spans="4:8">
      <c r="D1033" s="198">
        <v>4102</v>
      </c>
      <c r="F1033" s="20"/>
      <c r="G1033" s="20"/>
      <c r="H1033" s="184"/>
    </row>
    <row r="1034" spans="4:8">
      <c r="D1034" s="198">
        <v>4103</v>
      </c>
      <c r="F1034" s="20"/>
      <c r="G1034" s="20"/>
      <c r="H1034" s="184"/>
    </row>
    <row r="1035" spans="4:8">
      <c r="D1035" s="198">
        <v>4105</v>
      </c>
      <c r="F1035" s="20"/>
      <c r="G1035" s="20"/>
      <c r="H1035" s="184"/>
    </row>
    <row r="1036" spans="4:8">
      <c r="D1036" s="198">
        <v>4107</v>
      </c>
      <c r="F1036" s="20"/>
      <c r="G1036" s="20"/>
      <c r="H1036" s="184"/>
    </row>
    <row r="1037" spans="4:8">
      <c r="D1037" s="198">
        <v>4109</v>
      </c>
      <c r="F1037" s="20"/>
      <c r="G1037" s="20"/>
      <c r="H1037" s="184"/>
    </row>
    <row r="1038" spans="4:8">
      <c r="D1038" s="198">
        <v>4111</v>
      </c>
      <c r="F1038" s="20"/>
      <c r="G1038" s="20"/>
      <c r="H1038" s="184"/>
    </row>
    <row r="1039" spans="4:8">
      <c r="D1039" s="198">
        <v>4113</v>
      </c>
      <c r="F1039" s="20"/>
      <c r="G1039" s="20"/>
      <c r="H1039" s="184"/>
    </row>
    <row r="1040" spans="4:8">
      <c r="D1040" s="198">
        <v>4114</v>
      </c>
      <c r="F1040" s="20"/>
      <c r="G1040" s="20"/>
      <c r="H1040" s="184"/>
    </row>
    <row r="1041" spans="4:8">
      <c r="D1041" s="198">
        <v>4120</v>
      </c>
      <c r="F1041" s="20"/>
      <c r="G1041" s="20"/>
      <c r="H1041" s="184"/>
    </row>
    <row r="1042" spans="4:8">
      <c r="D1042" s="198">
        <v>4121</v>
      </c>
      <c r="F1042" s="20"/>
      <c r="G1042" s="20"/>
      <c r="H1042" s="184"/>
    </row>
    <row r="1043" spans="4:8">
      <c r="D1043" s="198">
        <v>4123</v>
      </c>
      <c r="F1043" s="20"/>
      <c r="G1043" s="20"/>
      <c r="H1043" s="184"/>
    </row>
    <row r="1044" spans="4:8">
      <c r="D1044" s="198">
        <v>4126</v>
      </c>
      <c r="F1044" s="20"/>
      <c r="G1044" s="20"/>
      <c r="H1044" s="184"/>
    </row>
    <row r="1045" spans="4:8">
      <c r="D1045" s="198">
        <v>4127</v>
      </c>
      <c r="F1045" s="20"/>
      <c r="G1045" s="20"/>
      <c r="H1045" s="184"/>
    </row>
    <row r="1046" spans="4:8">
      <c r="D1046" s="198">
        <v>4128</v>
      </c>
      <c r="F1046" s="20"/>
      <c r="G1046" s="20"/>
      <c r="H1046" s="184"/>
    </row>
    <row r="1047" spans="4:8">
      <c r="D1047" s="198">
        <v>4129</v>
      </c>
      <c r="F1047" s="20"/>
      <c r="G1047" s="20"/>
      <c r="H1047" s="184"/>
    </row>
    <row r="1048" spans="4:8">
      <c r="D1048" s="198">
        <v>4130</v>
      </c>
      <c r="F1048" s="20"/>
      <c r="G1048" s="20"/>
      <c r="H1048" s="184"/>
    </row>
    <row r="1049" spans="4:8">
      <c r="D1049" s="198">
        <v>4131</v>
      </c>
      <c r="F1049" s="20"/>
      <c r="G1049" s="20"/>
      <c r="H1049" s="184"/>
    </row>
    <row r="1050" spans="4:8">
      <c r="D1050" s="198">
        <v>4138</v>
      </c>
      <c r="F1050" s="20"/>
      <c r="G1050" s="20"/>
      <c r="H1050" s="184"/>
    </row>
    <row r="1051" spans="4:8">
      <c r="D1051" s="198">
        <v>4139</v>
      </c>
      <c r="F1051" s="20"/>
      <c r="G1051" s="20"/>
      <c r="H1051" s="184"/>
    </row>
    <row r="1052" spans="4:8">
      <c r="D1052" s="198">
        <v>4152</v>
      </c>
      <c r="F1052" s="20"/>
      <c r="G1052" s="20"/>
      <c r="H1052" s="184"/>
    </row>
    <row r="1053" spans="4:8">
      <c r="D1053" s="198">
        <v>4153</v>
      </c>
      <c r="F1053" s="20"/>
      <c r="G1053" s="20"/>
      <c r="H1053" s="184"/>
    </row>
    <row r="1054" spans="4:8">
      <c r="D1054" s="198">
        <v>4154</v>
      </c>
      <c r="F1054" s="20"/>
      <c r="G1054" s="20"/>
      <c r="H1054" s="184"/>
    </row>
    <row r="1055" spans="4:8">
      <c r="D1055" s="198">
        <v>4157</v>
      </c>
      <c r="F1055" s="20"/>
      <c r="G1055" s="20"/>
      <c r="H1055" s="184"/>
    </row>
    <row r="1056" spans="4:8">
      <c r="D1056" s="198">
        <v>4160</v>
      </c>
      <c r="F1056" s="20"/>
      <c r="G1056" s="20"/>
      <c r="H1056" s="184"/>
    </row>
    <row r="1057" spans="4:8">
      <c r="D1057" s="198">
        <v>4161</v>
      </c>
      <c r="F1057" s="20"/>
      <c r="G1057" s="20"/>
      <c r="H1057" s="184"/>
    </row>
    <row r="1058" spans="4:8">
      <c r="D1058" s="198">
        <v>4162</v>
      </c>
      <c r="F1058" s="20"/>
      <c r="G1058" s="20"/>
      <c r="H1058" s="184"/>
    </row>
    <row r="1059" spans="4:8">
      <c r="D1059" s="198">
        <v>4163</v>
      </c>
      <c r="F1059" s="20"/>
      <c r="G1059" s="20"/>
      <c r="H1059" s="184"/>
    </row>
    <row r="1060" spans="4:8">
      <c r="D1060" s="198">
        <v>4167</v>
      </c>
      <c r="F1060" s="20"/>
      <c r="G1060" s="20"/>
      <c r="H1060" s="184"/>
    </row>
    <row r="1061" spans="4:8">
      <c r="D1061" s="198">
        <v>4168</v>
      </c>
      <c r="F1061" s="20"/>
      <c r="G1061" s="20"/>
      <c r="H1061" s="184"/>
    </row>
    <row r="1062" spans="4:8">
      <c r="D1062" s="198">
        <v>4171</v>
      </c>
      <c r="F1062" s="20"/>
      <c r="G1062" s="20"/>
      <c r="H1062" s="184"/>
    </row>
    <row r="1063" spans="4:8">
      <c r="D1063" s="198">
        <v>4173</v>
      </c>
      <c r="F1063" s="20"/>
      <c r="G1063" s="20"/>
      <c r="H1063" s="184"/>
    </row>
    <row r="1064" spans="4:8">
      <c r="D1064" s="198">
        <v>4174</v>
      </c>
      <c r="F1064" s="20"/>
      <c r="G1064" s="20"/>
      <c r="H1064" s="184"/>
    </row>
    <row r="1065" spans="4:8">
      <c r="D1065" s="198">
        <v>4175</v>
      </c>
      <c r="F1065" s="20"/>
      <c r="G1065" s="20"/>
      <c r="H1065" s="184"/>
    </row>
    <row r="1066" spans="4:8">
      <c r="D1066" s="198">
        <v>4180</v>
      </c>
      <c r="F1066" s="20"/>
      <c r="G1066" s="20"/>
      <c r="H1066" s="184"/>
    </row>
    <row r="1067" spans="4:8">
      <c r="D1067" s="198">
        <v>4188</v>
      </c>
      <c r="F1067" s="20"/>
      <c r="G1067" s="20"/>
      <c r="H1067" s="184"/>
    </row>
    <row r="1068" spans="4:8">
      <c r="D1068" s="198">
        <v>4192</v>
      </c>
      <c r="F1068" s="20"/>
      <c r="G1068" s="20"/>
      <c r="H1068" s="184"/>
    </row>
    <row r="1069" spans="4:8">
      <c r="D1069" s="198">
        <v>4198</v>
      </c>
      <c r="F1069" s="20"/>
      <c r="G1069" s="20"/>
      <c r="H1069" s="184"/>
    </row>
    <row r="1070" spans="4:8">
      <c r="D1070" s="198">
        <v>4205</v>
      </c>
      <c r="F1070" s="20"/>
      <c r="G1070" s="20"/>
      <c r="H1070" s="184"/>
    </row>
    <row r="1071" spans="4:8">
      <c r="D1071" s="198">
        <v>4207</v>
      </c>
      <c r="F1071" s="20"/>
      <c r="G1071" s="20"/>
      <c r="H1071" s="184"/>
    </row>
    <row r="1072" spans="4:8">
      <c r="D1072" s="198">
        <v>4303</v>
      </c>
      <c r="F1072" s="20"/>
      <c r="G1072" s="20"/>
      <c r="H1072" s="184"/>
    </row>
    <row r="1073" spans="4:8">
      <c r="D1073" s="198">
        <v>4304</v>
      </c>
      <c r="F1073" s="20"/>
      <c r="G1073" s="20"/>
      <c r="H1073" s="184"/>
    </row>
    <row r="1074" spans="4:8">
      <c r="D1074" s="198">
        <v>4305</v>
      </c>
      <c r="F1074" s="20"/>
      <c r="G1074" s="20"/>
      <c r="H1074" s="184"/>
    </row>
    <row r="1075" spans="4:8">
      <c r="D1075" s="198">
        <v>4401</v>
      </c>
      <c r="F1075" s="20"/>
      <c r="G1075" s="20"/>
      <c r="H1075" s="184"/>
    </row>
    <row r="1076" spans="4:8">
      <c r="D1076" s="198">
        <v>4402</v>
      </c>
      <c r="F1076" s="20"/>
      <c r="G1076" s="20"/>
      <c r="H1076" s="184"/>
    </row>
    <row r="1077" spans="4:8">
      <c r="D1077" s="198">
        <v>4406</v>
      </c>
      <c r="F1077" s="20"/>
      <c r="G1077" s="20"/>
      <c r="H1077" s="184"/>
    </row>
    <row r="1078" spans="4:8">
      <c r="D1078" s="198">
        <v>4413</v>
      </c>
      <c r="F1078" s="20"/>
      <c r="G1078" s="20"/>
      <c r="H1078" s="184"/>
    </row>
    <row r="1079" spans="4:8">
      <c r="D1079" s="198">
        <v>4415</v>
      </c>
      <c r="F1079" s="20"/>
      <c r="G1079" s="20"/>
      <c r="H1079" s="184"/>
    </row>
    <row r="1080" spans="4:8">
      <c r="D1080" s="198">
        <v>4416</v>
      </c>
      <c r="F1080" s="20"/>
      <c r="G1080" s="20"/>
      <c r="H1080" s="184"/>
    </row>
    <row r="1081" spans="4:8">
      <c r="D1081" s="198">
        <v>4417</v>
      </c>
      <c r="F1081" s="20"/>
      <c r="G1081" s="20"/>
      <c r="H1081" s="184"/>
    </row>
    <row r="1082" spans="4:8">
      <c r="D1082" s="198">
        <v>4419</v>
      </c>
      <c r="F1082" s="20"/>
      <c r="G1082" s="20"/>
      <c r="H1082" s="184"/>
    </row>
    <row r="1083" spans="4:8">
      <c r="D1083" s="198">
        <v>4420</v>
      </c>
      <c r="F1083" s="20"/>
      <c r="G1083" s="20"/>
      <c r="H1083" s="184"/>
    </row>
    <row r="1084" spans="4:8">
      <c r="D1084" s="198">
        <v>4429</v>
      </c>
      <c r="F1084" s="20"/>
      <c r="G1084" s="20"/>
      <c r="H1084" s="184"/>
    </row>
    <row r="1085" spans="4:8">
      <c r="D1085" s="198">
        <v>4430</v>
      </c>
      <c r="F1085" s="20"/>
      <c r="G1085" s="20"/>
      <c r="H1085" s="184"/>
    </row>
    <row r="1086" spans="4:8">
      <c r="D1086" s="198">
        <v>4432</v>
      </c>
      <c r="F1086" s="20"/>
      <c r="G1086" s="20"/>
      <c r="H1086" s="184"/>
    </row>
    <row r="1087" spans="4:8">
      <c r="D1087" s="198">
        <v>4433</v>
      </c>
      <c r="F1087" s="20"/>
      <c r="G1087" s="20"/>
      <c r="H1087" s="184"/>
    </row>
    <row r="1088" spans="4:8">
      <c r="D1088" s="198">
        <v>4502</v>
      </c>
      <c r="F1088" s="20"/>
      <c r="G1088" s="20"/>
      <c r="H1088" s="184"/>
    </row>
    <row r="1089" spans="4:8">
      <c r="D1089" s="198">
        <v>4503</v>
      </c>
      <c r="F1089" s="20"/>
      <c r="G1089" s="20"/>
      <c r="H1089" s="184"/>
    </row>
    <row r="1090" spans="4:8">
      <c r="D1090" s="198">
        <v>4506</v>
      </c>
      <c r="F1090" s="20"/>
      <c r="G1090" s="20"/>
      <c r="H1090" s="184"/>
    </row>
    <row r="1091" spans="4:8">
      <c r="D1091" s="198">
        <v>4510</v>
      </c>
      <c r="F1091" s="20"/>
      <c r="G1091" s="20"/>
      <c r="H1091" s="184"/>
    </row>
    <row r="1092" spans="4:8">
      <c r="D1092" s="198">
        <v>4513</v>
      </c>
      <c r="F1092" s="20"/>
      <c r="G1092" s="20"/>
      <c r="H1092" s="184"/>
    </row>
    <row r="1093" spans="4:8">
      <c r="D1093" s="198">
        <v>4523</v>
      </c>
      <c r="F1093" s="20"/>
      <c r="G1093" s="20"/>
      <c r="H1093" s="184"/>
    </row>
    <row r="1094" spans="4:8">
      <c r="D1094" s="198">
        <v>4527</v>
      </c>
      <c r="F1094" s="20"/>
      <c r="G1094" s="20"/>
      <c r="H1094" s="184"/>
    </row>
    <row r="1095" spans="4:8">
      <c r="D1095" s="198">
        <v>4528</v>
      </c>
      <c r="F1095" s="20"/>
      <c r="G1095" s="20"/>
      <c r="H1095" s="184"/>
    </row>
    <row r="1096" spans="4:8">
      <c r="D1096" s="198">
        <v>4529</v>
      </c>
      <c r="F1096" s="20"/>
      <c r="G1096" s="20"/>
      <c r="H1096" s="184"/>
    </row>
    <row r="1097" spans="4:8">
      <c r="D1097" s="198">
        <v>4530</v>
      </c>
      <c r="F1097" s="20"/>
      <c r="G1097" s="20"/>
      <c r="H1097" s="184"/>
    </row>
    <row r="1098" spans="4:8">
      <c r="D1098" s="198">
        <v>4533</v>
      </c>
      <c r="F1098" s="20"/>
      <c r="G1098" s="20"/>
      <c r="H1098" s="184"/>
    </row>
    <row r="1099" spans="4:8">
      <c r="D1099" s="198">
        <v>4534</v>
      </c>
      <c r="F1099" s="20"/>
      <c r="G1099" s="20"/>
      <c r="H1099" s="184"/>
    </row>
    <row r="1100" spans="4:8">
      <c r="D1100" s="198">
        <v>4535</v>
      </c>
      <c r="F1100" s="20"/>
      <c r="G1100" s="20"/>
      <c r="H1100" s="184"/>
    </row>
    <row r="1101" spans="4:8">
      <c r="D1101" s="198">
        <v>4541</v>
      </c>
      <c r="F1101" s="20"/>
      <c r="G1101" s="20"/>
      <c r="H1101" s="184"/>
    </row>
    <row r="1102" spans="4:8">
      <c r="D1102" s="198">
        <v>4542</v>
      </c>
      <c r="F1102" s="20"/>
      <c r="G1102" s="20"/>
      <c r="H1102" s="184"/>
    </row>
    <row r="1103" spans="4:8">
      <c r="D1103" s="198">
        <v>4549</v>
      </c>
      <c r="F1103" s="20"/>
      <c r="G1103" s="20"/>
      <c r="H1103" s="184"/>
    </row>
    <row r="1104" spans="4:8">
      <c r="D1104" s="198">
        <v>4550</v>
      </c>
      <c r="F1104" s="20"/>
      <c r="G1104" s="20"/>
      <c r="H1104" s="184"/>
    </row>
    <row r="1105" spans="4:8">
      <c r="D1105" s="198">
        <v>4609</v>
      </c>
      <c r="F1105" s="20"/>
      <c r="G1105" s="20"/>
      <c r="H1105" s="184"/>
    </row>
    <row r="1106" spans="4:8">
      <c r="D1106" s="198">
        <v>4702</v>
      </c>
      <c r="F1106" s="20"/>
      <c r="G1106" s="20"/>
      <c r="H1106" s="184"/>
    </row>
    <row r="1107" spans="4:8">
      <c r="D1107" s="198">
        <v>4706</v>
      </c>
      <c r="F1107" s="20"/>
      <c r="G1107" s="20"/>
      <c r="H1107" s="184"/>
    </row>
    <row r="1108" spans="4:8">
      <c r="D1108" s="198">
        <v>4711</v>
      </c>
      <c r="F1108" s="20"/>
      <c r="G1108" s="20"/>
      <c r="H1108" s="184"/>
    </row>
    <row r="1109" spans="4:8">
      <c r="D1109" s="198">
        <v>4712</v>
      </c>
      <c r="F1109" s="20"/>
      <c r="G1109" s="20"/>
      <c r="H1109" s="184"/>
    </row>
    <row r="1110" spans="4:8">
      <c r="D1110" s="198">
        <v>4714</v>
      </c>
      <c r="F1110" s="20"/>
      <c r="G1110" s="20"/>
      <c r="H1110" s="184"/>
    </row>
    <row r="1111" spans="4:8">
      <c r="D1111" s="198">
        <v>4716</v>
      </c>
      <c r="F1111" s="20"/>
      <c r="G1111" s="20"/>
      <c r="H1111" s="184"/>
    </row>
    <row r="1112" spans="4:8">
      <c r="D1112" s="198">
        <v>4721</v>
      </c>
      <c r="F1112" s="20"/>
      <c r="G1112" s="20"/>
      <c r="H1112" s="184"/>
    </row>
    <row r="1113" spans="4:8">
      <c r="D1113" s="198">
        <v>4726</v>
      </c>
      <c r="F1113" s="20"/>
      <c r="G1113" s="20"/>
      <c r="H1113" s="184"/>
    </row>
    <row r="1114" spans="4:8">
      <c r="D1114" s="198">
        <v>4728</v>
      </c>
      <c r="F1114" s="20"/>
      <c r="G1114" s="20"/>
      <c r="H1114" s="184"/>
    </row>
    <row r="1115" spans="4:8">
      <c r="D1115" s="198">
        <v>4729</v>
      </c>
      <c r="F1115" s="20"/>
      <c r="G1115" s="20"/>
      <c r="H1115" s="184"/>
    </row>
    <row r="1116" spans="4:8">
      <c r="D1116" s="198">
        <v>4735</v>
      </c>
      <c r="F1116" s="20"/>
      <c r="G1116" s="20"/>
      <c r="H1116" s="184"/>
    </row>
    <row r="1117" spans="4:8">
      <c r="D1117" s="198">
        <v>4736</v>
      </c>
      <c r="F1117" s="20"/>
      <c r="G1117" s="20"/>
      <c r="H1117" s="184"/>
    </row>
    <row r="1118" spans="4:8">
      <c r="D1118" s="198">
        <v>4739</v>
      </c>
      <c r="F1118" s="20"/>
      <c r="G1118" s="20"/>
      <c r="H1118" s="184"/>
    </row>
    <row r="1119" spans="4:8">
      <c r="D1119" s="198">
        <v>4743</v>
      </c>
      <c r="F1119" s="20"/>
      <c r="G1119" s="20"/>
      <c r="H1119" s="184"/>
    </row>
    <row r="1120" spans="4:8">
      <c r="D1120" s="198">
        <v>4745</v>
      </c>
      <c r="F1120" s="20"/>
      <c r="G1120" s="20"/>
      <c r="H1120" s="184"/>
    </row>
    <row r="1121" spans="4:8">
      <c r="D1121" s="198">
        <v>4747</v>
      </c>
      <c r="F1121" s="20"/>
      <c r="G1121" s="20"/>
      <c r="H1121" s="184"/>
    </row>
    <row r="1122" spans="4:8">
      <c r="D1122" s="198">
        <v>4903</v>
      </c>
      <c r="F1122" s="20"/>
      <c r="G1122" s="20"/>
      <c r="H1122" s="184"/>
    </row>
    <row r="1123" spans="4:8">
      <c r="D1123" s="198">
        <v>4905</v>
      </c>
      <c r="F1123" s="20"/>
      <c r="G1123" s="20"/>
      <c r="H1123" s="184"/>
    </row>
    <row r="1124" spans="4:8">
      <c r="D1124" s="198">
        <v>4907</v>
      </c>
      <c r="F1124" s="20"/>
      <c r="G1124" s="20"/>
      <c r="H1124" s="184"/>
    </row>
    <row r="1125" spans="4:8">
      <c r="D1125" s="198">
        <v>4908</v>
      </c>
      <c r="F1125" s="20"/>
      <c r="G1125" s="20"/>
      <c r="H1125" s="184"/>
    </row>
    <row r="1126" spans="4:8">
      <c r="D1126" s="198">
        <v>4909</v>
      </c>
      <c r="F1126" s="20"/>
      <c r="G1126" s="20"/>
      <c r="H1126" s="184"/>
    </row>
    <row r="1127" spans="4:8">
      <c r="D1127" s="198">
        <v>4911</v>
      </c>
      <c r="F1127" s="20"/>
      <c r="G1127" s="20"/>
      <c r="H1127" s="184"/>
    </row>
    <row r="1128" spans="4:8">
      <c r="D1128" s="198">
        <v>4924</v>
      </c>
      <c r="F1128" s="20"/>
      <c r="G1128" s="20"/>
      <c r="H1128" s="184"/>
    </row>
    <row r="1129" spans="4:8">
      <c r="D1129" s="198">
        <v>4933</v>
      </c>
      <c r="F1129" s="20"/>
      <c r="G1129" s="20"/>
      <c r="H1129" s="184"/>
    </row>
    <row r="1130" spans="4:8">
      <c r="D1130" s="198">
        <v>4939</v>
      </c>
      <c r="F1130" s="20"/>
      <c r="G1130" s="20"/>
      <c r="H1130" s="184"/>
    </row>
    <row r="1131" spans="4:8">
      <c r="D1131" s="198">
        <v>4944</v>
      </c>
      <c r="F1131" s="20"/>
      <c r="G1131" s="20"/>
      <c r="H1131" s="184"/>
    </row>
    <row r="1132" spans="4:8">
      <c r="D1132" s="198">
        <v>4946</v>
      </c>
      <c r="F1132" s="20"/>
      <c r="G1132" s="20"/>
      <c r="H1132" s="184"/>
    </row>
    <row r="1133" spans="4:8">
      <c r="D1133" s="198">
        <v>4947</v>
      </c>
      <c r="F1133" s="20"/>
      <c r="G1133" s="20"/>
      <c r="H1133" s="184"/>
    </row>
    <row r="1134" spans="4:8">
      <c r="D1134" s="198">
        <v>4950</v>
      </c>
      <c r="F1134" s="20"/>
      <c r="G1134" s="20"/>
      <c r="H1134" s="184"/>
    </row>
    <row r="1135" spans="4:8">
      <c r="D1135" s="198">
        <v>4953</v>
      </c>
      <c r="F1135" s="20"/>
      <c r="G1135" s="20"/>
      <c r="H1135" s="184"/>
    </row>
    <row r="1136" spans="4:8">
      <c r="D1136" s="198">
        <v>4965</v>
      </c>
      <c r="F1136" s="20"/>
      <c r="G1136" s="20"/>
      <c r="H1136" s="184"/>
    </row>
    <row r="1137" spans="4:8">
      <c r="D1137" s="198">
        <v>4966</v>
      </c>
      <c r="F1137" s="20"/>
      <c r="G1137" s="20"/>
      <c r="H1137" s="184"/>
    </row>
    <row r="1138" spans="4:8">
      <c r="D1138" s="198">
        <v>4971</v>
      </c>
      <c r="F1138" s="20"/>
      <c r="G1138" s="20"/>
      <c r="H1138" s="184"/>
    </row>
    <row r="1139" spans="4:8">
      <c r="D1139" s="198">
        <v>4972</v>
      </c>
      <c r="F1139" s="20"/>
      <c r="G1139" s="20"/>
      <c r="H1139" s="184"/>
    </row>
    <row r="1140" spans="4:8">
      <c r="D1140" s="198">
        <v>4973</v>
      </c>
      <c r="F1140" s="20"/>
      <c r="G1140" s="20"/>
      <c r="H1140" s="184"/>
    </row>
    <row r="1141" spans="4:8">
      <c r="D1141" s="198">
        <v>4974</v>
      </c>
      <c r="F1141" s="20"/>
      <c r="G1141" s="20"/>
      <c r="H1141" s="184"/>
    </row>
    <row r="1142" spans="4:8">
      <c r="D1142" s="198">
        <v>4979</v>
      </c>
      <c r="F1142" s="20"/>
      <c r="G1142" s="20"/>
      <c r="H1142" s="184"/>
    </row>
    <row r="1143" spans="4:8">
      <c r="D1143" s="198">
        <v>4987</v>
      </c>
      <c r="F1143" s="20"/>
      <c r="G1143" s="20"/>
      <c r="H1143" s="184"/>
    </row>
    <row r="1144" spans="4:8">
      <c r="D1144" s="198">
        <v>4991</v>
      </c>
      <c r="F1144" s="20"/>
      <c r="G1144" s="20"/>
      <c r="H1144" s="184"/>
    </row>
    <row r="1145" spans="4:8">
      <c r="D1145" s="198">
        <v>4995</v>
      </c>
      <c r="F1145" s="20"/>
      <c r="G1145" s="20"/>
      <c r="H1145" s="184"/>
    </row>
    <row r="1146" spans="4:8">
      <c r="D1146" s="198">
        <v>5009</v>
      </c>
      <c r="F1146" s="20"/>
      <c r="G1146" s="20"/>
      <c r="H1146" s="184"/>
    </row>
    <row r="1147" spans="4:8">
      <c r="D1147" s="198">
        <v>5011</v>
      </c>
      <c r="F1147" s="20"/>
      <c r="G1147" s="20"/>
      <c r="H1147" s="184"/>
    </row>
    <row r="1148" spans="4:8">
      <c r="D1148" s="198">
        <v>5013</v>
      </c>
      <c r="F1148" s="20"/>
      <c r="G1148" s="20"/>
      <c r="H1148" s="184"/>
    </row>
    <row r="1149" spans="4:8">
      <c r="D1149" s="198">
        <v>5014</v>
      </c>
      <c r="F1149" s="20"/>
      <c r="G1149" s="20"/>
      <c r="H1149" s="184"/>
    </row>
    <row r="1150" spans="4:8">
      <c r="D1150" s="198">
        <v>5015</v>
      </c>
      <c r="F1150" s="20"/>
      <c r="G1150" s="20"/>
      <c r="H1150" s="184"/>
    </row>
    <row r="1151" spans="4:8">
      <c r="D1151" s="198">
        <v>5016</v>
      </c>
      <c r="F1151" s="20"/>
      <c r="G1151" s="20"/>
      <c r="H1151" s="184"/>
    </row>
    <row r="1152" spans="4:8">
      <c r="D1152" s="198">
        <v>5102</v>
      </c>
      <c r="F1152" s="20"/>
      <c r="G1152" s="20"/>
      <c r="H1152" s="184"/>
    </row>
    <row r="1153" spans="4:8">
      <c r="D1153" s="198">
        <v>5201</v>
      </c>
      <c r="F1153" s="20"/>
      <c r="G1153" s="20"/>
      <c r="H1153" s="184"/>
    </row>
    <row r="1154" spans="4:8">
      <c r="D1154" s="198">
        <v>5202</v>
      </c>
      <c r="F1154" s="20"/>
      <c r="G1154" s="20"/>
      <c r="H1154" s="184"/>
    </row>
    <row r="1155" spans="4:8">
      <c r="D1155" s="198">
        <v>5205</v>
      </c>
      <c r="F1155" s="20"/>
      <c r="G1155" s="20"/>
      <c r="H1155" s="184"/>
    </row>
    <row r="1156" spans="4:8">
      <c r="D1156" s="198">
        <v>5206</v>
      </c>
      <c r="F1156" s="20"/>
      <c r="G1156" s="20"/>
      <c r="H1156" s="184"/>
    </row>
    <row r="1157" spans="4:8">
      <c r="D1157" s="198">
        <v>5209</v>
      </c>
      <c r="F1157" s="20"/>
      <c r="G1157" s="20"/>
      <c r="H1157" s="184"/>
    </row>
    <row r="1158" spans="4:8">
      <c r="D1158" s="198">
        <v>5210</v>
      </c>
      <c r="F1158" s="20"/>
      <c r="G1158" s="20"/>
      <c r="H1158" s="184"/>
    </row>
    <row r="1159" spans="4:8">
      <c r="D1159" s="198">
        <v>5211</v>
      </c>
      <c r="F1159" s="20"/>
      <c r="G1159" s="20"/>
      <c r="H1159" s="184"/>
    </row>
    <row r="1160" spans="4:8">
      <c r="D1160" s="198">
        <v>5212</v>
      </c>
      <c r="F1160" s="20"/>
      <c r="G1160" s="20"/>
      <c r="H1160" s="184"/>
    </row>
    <row r="1161" spans="4:8">
      <c r="D1161" s="198">
        <v>5213</v>
      </c>
      <c r="F1161" s="20"/>
      <c r="G1161" s="20"/>
      <c r="H1161" s="184"/>
    </row>
    <row r="1162" spans="4:8">
      <c r="D1162" s="198">
        <v>5227</v>
      </c>
      <c r="F1162" s="20"/>
      <c r="G1162" s="20"/>
      <c r="H1162" s="184"/>
    </row>
    <row r="1163" spans="4:8">
      <c r="D1163" s="198">
        <v>5230</v>
      </c>
      <c r="F1163" s="20"/>
      <c r="G1163" s="20"/>
      <c r="H1163" s="184"/>
    </row>
    <row r="1164" spans="4:8">
      <c r="D1164" s="198">
        <v>5245</v>
      </c>
      <c r="F1164" s="20"/>
      <c r="G1164" s="20"/>
      <c r="H1164" s="184"/>
    </row>
    <row r="1165" spans="4:8">
      <c r="D1165" s="198">
        <v>5251</v>
      </c>
      <c r="F1165" s="20"/>
      <c r="G1165" s="20"/>
      <c r="H1165" s="184"/>
    </row>
    <row r="1166" spans="4:8">
      <c r="D1166" s="198">
        <v>5255</v>
      </c>
      <c r="F1166" s="20"/>
      <c r="G1166" s="20"/>
      <c r="H1166" s="184"/>
    </row>
    <row r="1167" spans="4:8">
      <c r="D1167" s="198">
        <v>5263</v>
      </c>
      <c r="F1167" s="20"/>
      <c r="G1167" s="20"/>
      <c r="H1167" s="184"/>
    </row>
    <row r="1168" spans="4:8">
      <c r="D1168" s="198">
        <v>5266</v>
      </c>
      <c r="F1168" s="20"/>
      <c r="G1168" s="20"/>
      <c r="H1168" s="184"/>
    </row>
    <row r="1169" spans="4:8">
      <c r="D1169" s="198">
        <v>5272</v>
      </c>
      <c r="F1169" s="20"/>
      <c r="G1169" s="20"/>
      <c r="H1169" s="184"/>
    </row>
    <row r="1170" spans="4:8">
      <c r="D1170" s="198">
        <v>5274</v>
      </c>
      <c r="F1170" s="20"/>
      <c r="G1170" s="20"/>
      <c r="H1170" s="184"/>
    </row>
    <row r="1171" spans="4:8">
      <c r="D1171" s="198">
        <v>5276</v>
      </c>
      <c r="F1171" s="20"/>
      <c r="G1171" s="20"/>
      <c r="H1171" s="184"/>
    </row>
    <row r="1172" spans="4:8">
      <c r="D1172" s="198">
        <v>5278</v>
      </c>
      <c r="F1172" s="20"/>
      <c r="G1172" s="20"/>
      <c r="H1172" s="184"/>
    </row>
    <row r="1173" spans="4:8">
      <c r="D1173" s="198">
        <v>5284</v>
      </c>
      <c r="F1173" s="20"/>
      <c r="G1173" s="20"/>
      <c r="H1173" s="184"/>
    </row>
    <row r="1174" spans="4:8">
      <c r="D1174" s="198">
        <v>5287</v>
      </c>
      <c r="F1174" s="20"/>
      <c r="G1174" s="20"/>
      <c r="H1174" s="184"/>
    </row>
    <row r="1175" spans="4:8">
      <c r="D1175" s="198">
        <v>5289</v>
      </c>
      <c r="F1175" s="20"/>
      <c r="G1175" s="20"/>
      <c r="H1175" s="184"/>
    </row>
    <row r="1176" spans="4:8">
      <c r="D1176" s="198">
        <v>5291</v>
      </c>
      <c r="F1176" s="20"/>
      <c r="G1176" s="20"/>
      <c r="H1176" s="184"/>
    </row>
    <row r="1177" spans="4:8">
      <c r="D1177" s="198">
        <v>5301</v>
      </c>
      <c r="F1177" s="20"/>
      <c r="G1177" s="20"/>
      <c r="H1177" s="184"/>
    </row>
    <row r="1178" spans="4:8">
      <c r="D1178" s="198">
        <v>5302</v>
      </c>
      <c r="F1178" s="20"/>
      <c r="G1178" s="20"/>
      <c r="H1178" s="184"/>
    </row>
    <row r="1179" spans="4:8">
      <c r="D1179" s="198">
        <v>5304</v>
      </c>
      <c r="F1179" s="20"/>
      <c r="G1179" s="20"/>
      <c r="H1179" s="184"/>
    </row>
    <row r="1180" spans="4:8">
      <c r="D1180" s="198">
        <v>5306</v>
      </c>
      <c r="F1180" s="20"/>
      <c r="G1180" s="20"/>
      <c r="H1180" s="184"/>
    </row>
    <row r="1181" spans="4:8">
      <c r="D1181" s="198">
        <v>5309</v>
      </c>
      <c r="F1181" s="20"/>
      <c r="G1181" s="20"/>
      <c r="H1181" s="184"/>
    </row>
    <row r="1182" spans="4:8">
      <c r="D1182" s="198">
        <v>5310</v>
      </c>
      <c r="F1182" s="20"/>
      <c r="G1182" s="20"/>
      <c r="H1182" s="184"/>
    </row>
    <row r="1183" spans="4:8">
      <c r="D1183" s="198">
        <v>5312</v>
      </c>
      <c r="F1183" s="20"/>
      <c r="G1183" s="20"/>
      <c r="H1183" s="184"/>
    </row>
    <row r="1184" spans="4:8">
      <c r="D1184" s="198">
        <v>5314</v>
      </c>
      <c r="F1184" s="20"/>
      <c r="G1184" s="20"/>
      <c r="H1184" s="184"/>
    </row>
    <row r="1185" spans="4:8">
      <c r="D1185" s="198">
        <v>5315</v>
      </c>
      <c r="F1185" s="20"/>
      <c r="G1185" s="20"/>
      <c r="H1185" s="184"/>
    </row>
    <row r="1186" spans="4:8">
      <c r="D1186" s="198">
        <v>5317</v>
      </c>
      <c r="F1186" s="20"/>
      <c r="G1186" s="20"/>
      <c r="H1186" s="184"/>
    </row>
    <row r="1187" spans="4:8">
      <c r="D1187" s="198">
        <v>5321</v>
      </c>
      <c r="F1187" s="20"/>
      <c r="G1187" s="20"/>
      <c r="H1187" s="184"/>
    </row>
    <row r="1188" spans="4:8">
      <c r="D1188" s="198">
        <v>5324</v>
      </c>
      <c r="F1188" s="20"/>
      <c r="G1188" s="20"/>
      <c r="H1188" s="184"/>
    </row>
    <row r="1189" spans="4:8">
      <c r="D1189" s="198">
        <v>5328</v>
      </c>
      <c r="F1189" s="20"/>
      <c r="G1189" s="20"/>
      <c r="H1189" s="184"/>
    </row>
    <row r="1190" spans="4:8">
      <c r="D1190" s="198">
        <v>5340</v>
      </c>
      <c r="F1190" s="20"/>
      <c r="G1190" s="20"/>
      <c r="H1190" s="184"/>
    </row>
    <row r="1191" spans="4:8">
      <c r="D1191" s="198">
        <v>5344</v>
      </c>
      <c r="F1191" s="20"/>
      <c r="G1191" s="20"/>
      <c r="H1191" s="184"/>
    </row>
    <row r="1192" spans="4:8">
      <c r="D1192" s="198">
        <v>5345</v>
      </c>
      <c r="F1192" s="20"/>
      <c r="G1192" s="20"/>
      <c r="H1192" s="184"/>
    </row>
    <row r="1193" spans="4:8">
      <c r="D1193" s="198">
        <v>5347</v>
      </c>
      <c r="F1193" s="20"/>
      <c r="G1193" s="20"/>
      <c r="H1193" s="184"/>
    </row>
    <row r="1194" spans="4:8">
      <c r="D1194" s="198">
        <v>5348</v>
      </c>
      <c r="F1194" s="20"/>
      <c r="G1194" s="20"/>
      <c r="H1194" s="184"/>
    </row>
    <row r="1195" spans="4:8">
      <c r="D1195" s="198">
        <v>5349</v>
      </c>
      <c r="F1195" s="20"/>
      <c r="G1195" s="20"/>
      <c r="H1195" s="184"/>
    </row>
    <row r="1196" spans="4:8">
      <c r="D1196" s="198">
        <v>5351</v>
      </c>
      <c r="F1196" s="20"/>
      <c r="G1196" s="20"/>
      <c r="H1196" s="184"/>
    </row>
    <row r="1197" spans="4:8">
      <c r="D1197" s="198">
        <v>5353</v>
      </c>
      <c r="F1197" s="20"/>
      <c r="G1197" s="20"/>
      <c r="H1197" s="184"/>
    </row>
    <row r="1198" spans="4:8">
      <c r="D1198" s="198">
        <v>5355</v>
      </c>
      <c r="F1198" s="20"/>
      <c r="G1198" s="20"/>
      <c r="H1198" s="184"/>
    </row>
    <row r="1199" spans="4:8">
      <c r="D1199" s="198">
        <v>5356</v>
      </c>
      <c r="F1199" s="20"/>
      <c r="G1199" s="20"/>
      <c r="H1199" s="184"/>
    </row>
    <row r="1200" spans="4:8">
      <c r="D1200" s="198">
        <v>5364</v>
      </c>
      <c r="F1200" s="20"/>
      <c r="G1200" s="20"/>
      <c r="H1200" s="184"/>
    </row>
    <row r="1201" spans="4:8">
      <c r="D1201" s="198">
        <v>5371</v>
      </c>
      <c r="F1201" s="20"/>
      <c r="G1201" s="20"/>
      <c r="H1201" s="184"/>
    </row>
    <row r="1202" spans="4:8">
      <c r="D1202" s="198">
        <v>5381</v>
      </c>
      <c r="F1202" s="20"/>
      <c r="G1202" s="20"/>
      <c r="H1202" s="184"/>
    </row>
    <row r="1203" spans="4:8">
      <c r="D1203" s="198">
        <v>5383</v>
      </c>
      <c r="F1203" s="20"/>
      <c r="G1203" s="20"/>
      <c r="H1203" s="184"/>
    </row>
    <row r="1204" spans="4:8">
      <c r="D1204" s="198">
        <v>5384</v>
      </c>
      <c r="F1204" s="20"/>
      <c r="G1204" s="20"/>
      <c r="H1204" s="184"/>
    </row>
    <row r="1205" spans="4:8">
      <c r="D1205" s="198">
        <v>5386</v>
      </c>
      <c r="F1205" s="20"/>
      <c r="G1205" s="20"/>
      <c r="H1205" s="184"/>
    </row>
    <row r="1206" spans="4:8">
      <c r="D1206" s="198">
        <v>5392</v>
      </c>
      <c r="F1206" s="20"/>
      <c r="G1206" s="20"/>
      <c r="H1206" s="184"/>
    </row>
    <row r="1207" spans="4:8">
      <c r="D1207" s="198">
        <v>5395</v>
      </c>
      <c r="F1207" s="20"/>
      <c r="G1207" s="20"/>
      <c r="H1207" s="184"/>
    </row>
    <row r="1208" spans="4:8">
      <c r="D1208" s="198">
        <v>5398</v>
      </c>
      <c r="F1208" s="20"/>
      <c r="G1208" s="20"/>
      <c r="H1208" s="184"/>
    </row>
    <row r="1209" spans="4:8">
      <c r="D1209" s="198">
        <v>5403</v>
      </c>
      <c r="F1209" s="20"/>
      <c r="G1209" s="20"/>
      <c r="H1209" s="184"/>
    </row>
    <row r="1210" spans="4:8">
      <c r="D1210" s="198">
        <v>5410</v>
      </c>
      <c r="F1210" s="20"/>
      <c r="G1210" s="20"/>
      <c r="H1210" s="184"/>
    </row>
    <row r="1211" spans="4:8">
      <c r="D1211" s="198">
        <v>5425</v>
      </c>
      <c r="F1211" s="20"/>
      <c r="G1211" s="20"/>
      <c r="H1211" s="184"/>
    </row>
    <row r="1212" spans="4:8">
      <c r="D1212" s="198">
        <v>5426</v>
      </c>
      <c r="F1212" s="20"/>
      <c r="G1212" s="20"/>
      <c r="H1212" s="184"/>
    </row>
    <row r="1213" spans="4:8">
      <c r="D1213" s="198">
        <v>5432</v>
      </c>
      <c r="F1213" s="20"/>
      <c r="G1213" s="20"/>
      <c r="H1213" s="184"/>
    </row>
    <row r="1214" spans="4:8">
      <c r="D1214" s="198">
        <v>5438</v>
      </c>
      <c r="F1214" s="20"/>
      <c r="G1214" s="20"/>
      <c r="H1214" s="184"/>
    </row>
    <row r="1215" spans="4:8">
      <c r="D1215" s="198">
        <v>5439</v>
      </c>
      <c r="F1215" s="20"/>
      <c r="G1215" s="20"/>
      <c r="H1215" s="184"/>
    </row>
    <row r="1216" spans="4:8">
      <c r="D1216" s="198">
        <v>5443</v>
      </c>
      <c r="F1216" s="20"/>
      <c r="G1216" s="20"/>
      <c r="H1216" s="184"/>
    </row>
    <row r="1217" spans="4:8">
      <c r="D1217" s="198">
        <v>5450</v>
      </c>
      <c r="F1217" s="20"/>
      <c r="G1217" s="20"/>
      <c r="H1217" s="184"/>
    </row>
    <row r="1218" spans="4:8">
      <c r="D1218" s="198">
        <v>5452</v>
      </c>
      <c r="F1218" s="20"/>
      <c r="G1218" s="20"/>
      <c r="H1218" s="184"/>
    </row>
    <row r="1219" spans="4:8">
      <c r="D1219" s="198">
        <v>5455</v>
      </c>
      <c r="F1219" s="20"/>
      <c r="G1219" s="20"/>
      <c r="H1219" s="184"/>
    </row>
    <row r="1220" spans="4:8">
      <c r="D1220" s="198">
        <v>5457</v>
      </c>
      <c r="F1220" s="20"/>
      <c r="G1220" s="20"/>
      <c r="H1220" s="184"/>
    </row>
    <row r="1221" spans="4:8">
      <c r="D1221" s="198">
        <v>5460</v>
      </c>
      <c r="F1221" s="20"/>
      <c r="G1221" s="20"/>
      <c r="H1221" s="184"/>
    </row>
    <row r="1222" spans="4:8">
      <c r="D1222" s="198">
        <v>5464</v>
      </c>
      <c r="F1222" s="20"/>
      <c r="G1222" s="20"/>
      <c r="H1222" s="184"/>
    </row>
    <row r="1223" spans="4:8">
      <c r="D1223" s="198">
        <v>5465</v>
      </c>
      <c r="F1223" s="20"/>
      <c r="G1223" s="20"/>
      <c r="H1223" s="184"/>
    </row>
    <row r="1224" spans="4:8">
      <c r="D1224" s="198">
        <v>5468</v>
      </c>
      <c r="F1224" s="20"/>
      <c r="G1224" s="20"/>
      <c r="H1224" s="184"/>
    </row>
    <row r="1225" spans="4:8">
      <c r="D1225" s="198">
        <v>5474</v>
      </c>
      <c r="F1225" s="20"/>
      <c r="G1225" s="20"/>
      <c r="H1225" s="184"/>
    </row>
    <row r="1226" spans="4:8">
      <c r="D1226" s="198">
        <v>5475</v>
      </c>
      <c r="F1226" s="20"/>
      <c r="G1226" s="20"/>
      <c r="H1226" s="184"/>
    </row>
    <row r="1227" spans="4:8">
      <c r="D1227" s="198">
        <v>5478</v>
      </c>
      <c r="F1227" s="20"/>
      <c r="G1227" s="20"/>
      <c r="H1227" s="184"/>
    </row>
    <row r="1228" spans="4:8">
      <c r="D1228" s="198">
        <v>5480</v>
      </c>
      <c r="F1228" s="20"/>
      <c r="G1228" s="20"/>
      <c r="H1228" s="184"/>
    </row>
    <row r="1229" spans="4:8">
      <c r="D1229" s="198">
        <v>5481</v>
      </c>
      <c r="F1229" s="20"/>
      <c r="G1229" s="20"/>
      <c r="H1229" s="184"/>
    </row>
    <row r="1230" spans="4:8">
      <c r="D1230" s="198">
        <v>5483</v>
      </c>
      <c r="F1230" s="20"/>
      <c r="G1230" s="20"/>
      <c r="H1230" s="184"/>
    </row>
    <row r="1231" spans="4:8">
      <c r="D1231" s="198">
        <v>5487</v>
      </c>
      <c r="F1231" s="20"/>
      <c r="G1231" s="20"/>
      <c r="H1231" s="184"/>
    </row>
    <row r="1232" spans="4:8">
      <c r="D1232" s="198">
        <v>5488</v>
      </c>
      <c r="F1232" s="20"/>
      <c r="G1232" s="20"/>
      <c r="H1232" s="184"/>
    </row>
    <row r="1233" spans="4:8">
      <c r="D1233" s="198">
        <v>5489</v>
      </c>
      <c r="F1233" s="20"/>
      <c r="G1233" s="20"/>
      <c r="H1233" s="184"/>
    </row>
    <row r="1234" spans="4:8">
      <c r="D1234" s="198">
        <v>5490</v>
      </c>
      <c r="F1234" s="20"/>
      <c r="G1234" s="20"/>
      <c r="H1234" s="184"/>
    </row>
    <row r="1235" spans="4:8">
      <c r="D1235" s="198">
        <v>5491</v>
      </c>
      <c r="F1235" s="20"/>
      <c r="G1235" s="20"/>
      <c r="H1235" s="184"/>
    </row>
    <row r="1236" spans="4:8">
      <c r="D1236" s="198">
        <v>5493</v>
      </c>
      <c r="F1236" s="20"/>
      <c r="G1236" s="20"/>
      <c r="H1236" s="184"/>
    </row>
    <row r="1237" spans="4:8">
      <c r="D1237" s="198">
        <v>5498</v>
      </c>
      <c r="F1237" s="20"/>
      <c r="G1237" s="20"/>
      <c r="H1237" s="184"/>
    </row>
    <row r="1238" spans="4:8">
      <c r="D1238" s="198">
        <v>5506</v>
      </c>
      <c r="F1238" s="20"/>
      <c r="G1238" s="20"/>
      <c r="H1238" s="184"/>
    </row>
    <row r="1239" spans="4:8">
      <c r="D1239" s="198">
        <v>5508</v>
      </c>
      <c r="F1239" s="20"/>
      <c r="G1239" s="20"/>
      <c r="H1239" s="184"/>
    </row>
    <row r="1240" spans="4:8">
      <c r="D1240" s="198">
        <v>5511</v>
      </c>
      <c r="F1240" s="20"/>
      <c r="G1240" s="20"/>
      <c r="H1240" s="184"/>
    </row>
    <row r="1241" spans="4:8">
      <c r="D1241" s="198">
        <v>5512</v>
      </c>
      <c r="F1241" s="20"/>
      <c r="G1241" s="20"/>
      <c r="H1241" s="184"/>
    </row>
    <row r="1242" spans="4:8">
      <c r="D1242" s="198">
        <v>5514</v>
      </c>
      <c r="F1242" s="20"/>
      <c r="G1242" s="20"/>
      <c r="H1242" s="184"/>
    </row>
    <row r="1243" spans="4:8">
      <c r="D1243" s="198">
        <v>5516</v>
      </c>
      <c r="F1243" s="20"/>
      <c r="G1243" s="20"/>
      <c r="H1243" s="184"/>
    </row>
    <row r="1244" spans="4:8">
      <c r="D1244" s="198">
        <v>5520</v>
      </c>
      <c r="F1244" s="20"/>
      <c r="G1244" s="20"/>
      <c r="H1244" s="184"/>
    </row>
    <row r="1245" spans="4:8">
      <c r="D1245" s="198">
        <v>5523</v>
      </c>
      <c r="F1245" s="20"/>
      <c r="G1245" s="20"/>
      <c r="H1245" s="184"/>
    </row>
    <row r="1246" spans="4:8">
      <c r="D1246" s="198">
        <v>5529</v>
      </c>
      <c r="F1246" s="20"/>
      <c r="G1246" s="20"/>
      <c r="H1246" s="184"/>
    </row>
    <row r="1247" spans="4:8">
      <c r="D1247" s="198">
        <v>5530</v>
      </c>
      <c r="F1247" s="20"/>
      <c r="G1247" s="20"/>
      <c r="H1247" s="184"/>
    </row>
    <row r="1248" spans="4:8">
      <c r="D1248" s="198">
        <v>5536</v>
      </c>
      <c r="F1248" s="20"/>
      <c r="G1248" s="20"/>
      <c r="H1248" s="184"/>
    </row>
    <row r="1249" spans="4:8">
      <c r="D1249" s="198">
        <v>5601</v>
      </c>
      <c r="F1249" s="20"/>
      <c r="G1249" s="20"/>
      <c r="H1249" s="184"/>
    </row>
    <row r="1250" spans="4:8">
      <c r="D1250" s="198">
        <v>5603</v>
      </c>
      <c r="F1250" s="20"/>
      <c r="G1250" s="20"/>
      <c r="H1250" s="184"/>
    </row>
    <row r="1251" spans="4:8">
      <c r="D1251" s="198">
        <v>5604</v>
      </c>
      <c r="F1251" s="20"/>
      <c r="G1251" s="20"/>
      <c r="H1251" s="184"/>
    </row>
    <row r="1252" spans="4:8">
      <c r="D1252" s="198">
        <v>5609</v>
      </c>
      <c r="F1252" s="20"/>
      <c r="G1252" s="20"/>
      <c r="H1252" s="184"/>
    </row>
    <row r="1253" spans="4:8">
      <c r="D1253" s="198">
        <v>5701</v>
      </c>
      <c r="F1253" s="20"/>
      <c r="G1253" s="20"/>
      <c r="H1253" s="184"/>
    </row>
    <row r="1254" spans="4:8">
      <c r="D1254" s="198">
        <v>5703</v>
      </c>
      <c r="F1254" s="20"/>
      <c r="G1254" s="20"/>
      <c r="H1254" s="184"/>
    </row>
    <row r="1255" spans="4:8">
      <c r="D1255" s="198">
        <v>5704</v>
      </c>
      <c r="F1255" s="20"/>
      <c r="G1255" s="20"/>
      <c r="H1255" s="184"/>
    </row>
    <row r="1256" spans="4:8">
      <c r="D1256" s="198">
        <v>5878</v>
      </c>
      <c r="F1256" s="20"/>
      <c r="G1256" s="20"/>
      <c r="H1256" s="184"/>
    </row>
    <row r="1257" spans="4:8">
      <c r="D1257" s="198">
        <v>5902</v>
      </c>
      <c r="F1257" s="20"/>
      <c r="G1257" s="20"/>
      <c r="H1257" s="184"/>
    </row>
    <row r="1258" spans="4:8">
      <c r="D1258" s="198">
        <v>5903</v>
      </c>
      <c r="F1258" s="20"/>
      <c r="G1258" s="20"/>
      <c r="H1258" s="184"/>
    </row>
    <row r="1259" spans="4:8">
      <c r="D1259" s="198">
        <v>5904</v>
      </c>
      <c r="F1259" s="20"/>
      <c r="G1259" s="20"/>
      <c r="H1259" s="184"/>
    </row>
    <row r="1260" spans="4:8">
      <c r="D1260" s="198">
        <v>5905</v>
      </c>
      <c r="F1260" s="20"/>
      <c r="G1260" s="20"/>
      <c r="H1260" s="184"/>
    </row>
    <row r="1261" spans="4:8">
      <c r="D1261" s="198">
        <v>6101</v>
      </c>
      <c r="F1261" s="20"/>
      <c r="G1261" s="20"/>
      <c r="H1261" s="184"/>
    </row>
    <row r="1262" spans="4:8">
      <c r="D1262" s="198">
        <v>6103</v>
      </c>
      <c r="F1262" s="20"/>
      <c r="G1262" s="20"/>
      <c r="H1262" s="184"/>
    </row>
    <row r="1263" spans="4:8">
      <c r="D1263" s="198">
        <v>6104</v>
      </c>
      <c r="F1263" s="20"/>
      <c r="G1263" s="20"/>
      <c r="H1263" s="184"/>
    </row>
    <row r="1264" spans="4:8">
      <c r="D1264" s="198">
        <v>6105</v>
      </c>
      <c r="F1264" s="20"/>
      <c r="G1264" s="20"/>
      <c r="H1264" s="184"/>
    </row>
    <row r="1265" spans="4:8">
      <c r="D1265" s="198">
        <v>6107</v>
      </c>
      <c r="F1265" s="20"/>
      <c r="G1265" s="20"/>
      <c r="H1265" s="184"/>
    </row>
    <row r="1266" spans="4:8">
      <c r="D1266" s="198">
        <v>6109</v>
      </c>
      <c r="F1266" s="20"/>
      <c r="G1266" s="20"/>
      <c r="H1266" s="184"/>
    </row>
    <row r="1267" spans="4:8">
      <c r="D1267" s="198">
        <v>6111</v>
      </c>
      <c r="F1267" s="20"/>
      <c r="G1267" s="20"/>
      <c r="H1267" s="184"/>
    </row>
    <row r="1268" spans="4:8">
      <c r="D1268" s="198">
        <v>6113</v>
      </c>
      <c r="F1268" s="20"/>
      <c r="G1268" s="20"/>
      <c r="H1268" s="184"/>
    </row>
    <row r="1269" spans="4:8">
      <c r="D1269" s="198">
        <v>6114</v>
      </c>
      <c r="F1269" s="20"/>
      <c r="G1269" s="20"/>
      <c r="H1269" s="184"/>
    </row>
    <row r="1270" spans="4:8">
      <c r="D1270" s="198">
        <v>6118</v>
      </c>
      <c r="F1270" s="20"/>
      <c r="G1270" s="20"/>
      <c r="H1270" s="184"/>
    </row>
    <row r="1271" spans="4:8">
      <c r="D1271" s="198">
        <v>6121</v>
      </c>
      <c r="F1271" s="20"/>
      <c r="G1271" s="20"/>
      <c r="H1271" s="184"/>
    </row>
    <row r="1272" spans="4:8">
      <c r="D1272" s="198">
        <v>6122</v>
      </c>
      <c r="F1272" s="20"/>
      <c r="G1272" s="20"/>
      <c r="H1272" s="184"/>
    </row>
    <row r="1273" spans="4:8">
      <c r="D1273" s="198">
        <v>6123</v>
      </c>
      <c r="F1273" s="20"/>
      <c r="G1273" s="20"/>
      <c r="H1273" s="184"/>
    </row>
    <row r="1274" spans="4:8">
      <c r="D1274" s="198">
        <v>6124</v>
      </c>
      <c r="F1274" s="20"/>
      <c r="G1274" s="20"/>
      <c r="H1274" s="184"/>
    </row>
    <row r="1275" spans="4:8">
      <c r="D1275" s="198">
        <v>6125</v>
      </c>
      <c r="F1275" s="20"/>
      <c r="G1275" s="20"/>
      <c r="H1275" s="184"/>
    </row>
    <row r="1276" spans="4:8">
      <c r="D1276" s="198">
        <v>6126</v>
      </c>
      <c r="F1276" s="20"/>
      <c r="G1276" s="20"/>
      <c r="H1276" s="184"/>
    </row>
    <row r="1277" spans="4:8">
      <c r="D1277" s="198">
        <v>6127</v>
      </c>
      <c r="F1277" s="20"/>
      <c r="G1277" s="20"/>
      <c r="H1277" s="184"/>
    </row>
    <row r="1278" spans="4:8">
      <c r="D1278" s="198">
        <v>6129</v>
      </c>
      <c r="F1278" s="20"/>
      <c r="G1278" s="20"/>
      <c r="H1278" s="184"/>
    </row>
    <row r="1279" spans="4:8">
      <c r="D1279" s="198">
        <v>6130</v>
      </c>
      <c r="F1279" s="20"/>
      <c r="G1279" s="20"/>
      <c r="H1279" s="184"/>
    </row>
    <row r="1280" spans="4:8">
      <c r="D1280" s="198">
        <v>6134</v>
      </c>
      <c r="F1280" s="20"/>
      <c r="G1280" s="20"/>
      <c r="H1280" s="184"/>
    </row>
    <row r="1281" spans="4:8">
      <c r="D1281" s="198">
        <v>6138</v>
      </c>
      <c r="F1281" s="20"/>
      <c r="G1281" s="20"/>
      <c r="H1281" s="184"/>
    </row>
    <row r="1282" spans="4:8">
      <c r="D1282" s="198">
        <v>6140</v>
      </c>
      <c r="F1282" s="20"/>
      <c r="G1282" s="20"/>
      <c r="H1282" s="184"/>
    </row>
    <row r="1283" spans="4:8">
      <c r="D1283" s="198">
        <v>6143</v>
      </c>
      <c r="F1283" s="20"/>
      <c r="G1283" s="20"/>
      <c r="H1283" s="184"/>
    </row>
    <row r="1284" spans="4:8">
      <c r="D1284" s="198">
        <v>6144</v>
      </c>
      <c r="F1284" s="20"/>
      <c r="G1284" s="20"/>
      <c r="H1284" s="184"/>
    </row>
    <row r="1285" spans="4:8">
      <c r="D1285" s="198">
        <v>6146</v>
      </c>
      <c r="F1285" s="20"/>
      <c r="G1285" s="20"/>
      <c r="H1285" s="184"/>
    </row>
    <row r="1286" spans="4:8">
      <c r="D1286" s="198">
        <v>6147</v>
      </c>
      <c r="F1286" s="20"/>
      <c r="G1286" s="20"/>
      <c r="H1286" s="184"/>
    </row>
    <row r="1287" spans="4:8">
      <c r="D1287" s="198">
        <v>6148</v>
      </c>
      <c r="F1287" s="20"/>
      <c r="G1287" s="20"/>
      <c r="H1287" s="184"/>
    </row>
    <row r="1288" spans="4:8">
      <c r="D1288" s="198">
        <v>6150</v>
      </c>
      <c r="F1288" s="20"/>
      <c r="G1288" s="20"/>
      <c r="H1288" s="184"/>
    </row>
    <row r="1289" spans="4:8">
      <c r="D1289" s="198">
        <v>6151</v>
      </c>
      <c r="F1289" s="20"/>
      <c r="G1289" s="20"/>
      <c r="H1289" s="184"/>
    </row>
    <row r="1290" spans="4:8">
      <c r="D1290" s="198">
        <v>6154</v>
      </c>
      <c r="F1290" s="20"/>
      <c r="G1290" s="20"/>
      <c r="H1290" s="184"/>
    </row>
    <row r="1291" spans="4:8">
      <c r="D1291" s="198">
        <v>6156</v>
      </c>
      <c r="F1291" s="20"/>
      <c r="G1291" s="20"/>
      <c r="H1291" s="184"/>
    </row>
    <row r="1292" spans="4:8">
      <c r="D1292" s="198">
        <v>6158</v>
      </c>
      <c r="F1292" s="20"/>
      <c r="G1292" s="20"/>
      <c r="H1292" s="184"/>
    </row>
    <row r="1293" spans="4:8">
      <c r="D1293" s="198">
        <v>6160</v>
      </c>
      <c r="F1293" s="20"/>
      <c r="G1293" s="20"/>
      <c r="H1293" s="184"/>
    </row>
    <row r="1294" spans="4:8">
      <c r="D1294" s="198">
        <v>6161</v>
      </c>
      <c r="F1294" s="20"/>
      <c r="G1294" s="20"/>
      <c r="H1294" s="184"/>
    </row>
    <row r="1295" spans="4:8">
      <c r="D1295" s="198">
        <v>6163</v>
      </c>
      <c r="F1295" s="20"/>
      <c r="G1295" s="20"/>
      <c r="H1295" s="184"/>
    </row>
    <row r="1296" spans="4:8">
      <c r="D1296" s="198">
        <v>6167</v>
      </c>
      <c r="F1296" s="20"/>
      <c r="G1296" s="20"/>
      <c r="H1296" s="184"/>
    </row>
    <row r="1297" spans="4:8">
      <c r="D1297" s="198">
        <v>6169</v>
      </c>
      <c r="F1297" s="20"/>
      <c r="G1297" s="20"/>
      <c r="H1297" s="184"/>
    </row>
    <row r="1298" spans="4:8">
      <c r="D1298" s="198">
        <v>6170</v>
      </c>
      <c r="F1298" s="20"/>
      <c r="G1298" s="20"/>
      <c r="H1298" s="184"/>
    </row>
    <row r="1299" spans="4:8">
      <c r="D1299" s="198">
        <v>6171</v>
      </c>
      <c r="F1299" s="20"/>
      <c r="G1299" s="20"/>
      <c r="H1299" s="184"/>
    </row>
    <row r="1300" spans="4:8">
      <c r="D1300" s="198">
        <v>6173</v>
      </c>
      <c r="F1300" s="20"/>
      <c r="G1300" s="20"/>
      <c r="H1300" s="184"/>
    </row>
    <row r="1301" spans="4:8">
      <c r="D1301" s="198">
        <v>6174</v>
      </c>
      <c r="F1301" s="20"/>
      <c r="G1301" s="20"/>
      <c r="H1301" s="184"/>
    </row>
    <row r="1302" spans="4:8">
      <c r="D1302" s="198">
        <v>6175</v>
      </c>
      <c r="F1302" s="20"/>
      <c r="G1302" s="20"/>
      <c r="H1302" s="184"/>
    </row>
    <row r="1303" spans="4:8">
      <c r="D1303" s="198">
        <v>6179</v>
      </c>
      <c r="F1303" s="20"/>
      <c r="G1303" s="20"/>
      <c r="H1303" s="184"/>
    </row>
    <row r="1304" spans="4:8">
      <c r="D1304" s="198">
        <v>6180</v>
      </c>
      <c r="F1304" s="20"/>
      <c r="G1304" s="20"/>
      <c r="H1304" s="184"/>
    </row>
    <row r="1305" spans="4:8">
      <c r="D1305" s="198">
        <v>6182</v>
      </c>
      <c r="F1305" s="20"/>
      <c r="G1305" s="20"/>
      <c r="H1305" s="184"/>
    </row>
    <row r="1306" spans="4:8">
      <c r="D1306" s="198">
        <v>6185</v>
      </c>
      <c r="F1306" s="20"/>
      <c r="G1306" s="20"/>
      <c r="H1306" s="184"/>
    </row>
    <row r="1307" spans="4:8">
      <c r="D1307" s="198">
        <v>6186</v>
      </c>
      <c r="F1307" s="20"/>
      <c r="G1307" s="20"/>
      <c r="H1307" s="184"/>
    </row>
    <row r="1308" spans="4:8">
      <c r="D1308" s="198">
        <v>6187</v>
      </c>
      <c r="F1308" s="20"/>
      <c r="G1308" s="20"/>
      <c r="H1308" s="184"/>
    </row>
    <row r="1309" spans="4:8">
      <c r="D1309" s="198">
        <v>6188</v>
      </c>
      <c r="F1309" s="20"/>
      <c r="G1309" s="20"/>
      <c r="H1309" s="184"/>
    </row>
    <row r="1310" spans="4:8">
      <c r="D1310" s="198">
        <v>6190</v>
      </c>
      <c r="F1310" s="20"/>
      <c r="G1310" s="20"/>
      <c r="H1310" s="184"/>
    </row>
    <row r="1311" spans="4:8">
      <c r="D1311" s="198">
        <v>6194</v>
      </c>
      <c r="F1311" s="20"/>
      <c r="G1311" s="20"/>
      <c r="H1311" s="184"/>
    </row>
    <row r="1312" spans="4:8">
      <c r="D1312" s="198">
        <v>6195</v>
      </c>
      <c r="F1312" s="20"/>
      <c r="G1312" s="20"/>
      <c r="H1312" s="184"/>
    </row>
    <row r="1313" spans="4:8">
      <c r="D1313" s="198">
        <v>6198</v>
      </c>
      <c r="F1313" s="20"/>
      <c r="G1313" s="20"/>
      <c r="H1313" s="184"/>
    </row>
    <row r="1314" spans="4:8">
      <c r="D1314" s="198">
        <v>6199</v>
      </c>
      <c r="F1314" s="20"/>
      <c r="G1314" s="20"/>
      <c r="H1314" s="184"/>
    </row>
    <row r="1315" spans="4:8">
      <c r="D1315" s="198">
        <v>6203</v>
      </c>
      <c r="F1315" s="20"/>
      <c r="G1315" s="20"/>
      <c r="H1315" s="184"/>
    </row>
    <row r="1316" spans="4:8">
      <c r="D1316" s="198">
        <v>6204</v>
      </c>
      <c r="F1316" s="20"/>
      <c r="G1316" s="20"/>
      <c r="H1316" s="184"/>
    </row>
    <row r="1317" spans="4:8">
      <c r="D1317" s="198">
        <v>6207</v>
      </c>
      <c r="F1317" s="20"/>
      <c r="G1317" s="20"/>
      <c r="H1317" s="184"/>
    </row>
    <row r="1318" spans="4:8">
      <c r="D1318" s="198">
        <v>6208</v>
      </c>
      <c r="F1318" s="20"/>
      <c r="G1318" s="20"/>
      <c r="H1318" s="184"/>
    </row>
    <row r="1319" spans="4:8">
      <c r="D1319" s="198">
        <v>6210</v>
      </c>
      <c r="F1319" s="20"/>
      <c r="G1319" s="20"/>
      <c r="H1319" s="184"/>
    </row>
    <row r="1320" spans="4:8">
      <c r="D1320" s="198">
        <v>6211</v>
      </c>
      <c r="F1320" s="20"/>
      <c r="G1320" s="20"/>
      <c r="H1320" s="184"/>
    </row>
    <row r="1321" spans="4:8">
      <c r="D1321" s="198">
        <v>6212</v>
      </c>
      <c r="F1321" s="20"/>
      <c r="G1321" s="20"/>
      <c r="H1321" s="184"/>
    </row>
    <row r="1322" spans="4:8">
      <c r="D1322" s="198">
        <v>6217</v>
      </c>
      <c r="F1322" s="20"/>
      <c r="G1322" s="20"/>
      <c r="H1322" s="184"/>
    </row>
    <row r="1323" spans="4:8">
      <c r="D1323" s="198">
        <v>6218</v>
      </c>
      <c r="F1323" s="20"/>
      <c r="G1323" s="20"/>
      <c r="H1323" s="184"/>
    </row>
    <row r="1324" spans="4:8">
      <c r="D1324" s="198">
        <v>6219</v>
      </c>
      <c r="F1324" s="20"/>
      <c r="G1324" s="20"/>
      <c r="H1324" s="184"/>
    </row>
    <row r="1325" spans="4:8">
      <c r="D1325" s="198">
        <v>6220</v>
      </c>
      <c r="F1325" s="20"/>
      <c r="G1325" s="20"/>
      <c r="H1325" s="184"/>
    </row>
    <row r="1326" spans="4:8">
      <c r="D1326" s="198">
        <v>6221</v>
      </c>
      <c r="F1326" s="20"/>
      <c r="G1326" s="20"/>
      <c r="H1326" s="184"/>
    </row>
    <row r="1327" spans="4:8">
      <c r="D1327" s="198">
        <v>6222</v>
      </c>
      <c r="F1327" s="20"/>
      <c r="G1327" s="20"/>
      <c r="H1327" s="184"/>
    </row>
    <row r="1328" spans="4:8">
      <c r="D1328" s="198">
        <v>6223</v>
      </c>
      <c r="F1328" s="20"/>
      <c r="G1328" s="20"/>
      <c r="H1328" s="184"/>
    </row>
    <row r="1329" spans="4:8">
      <c r="D1329" s="198">
        <v>6227</v>
      </c>
      <c r="F1329" s="20"/>
      <c r="G1329" s="20"/>
      <c r="H1329" s="184"/>
    </row>
    <row r="1330" spans="4:8">
      <c r="D1330" s="198">
        <v>6228</v>
      </c>
      <c r="F1330" s="20"/>
      <c r="G1330" s="20"/>
      <c r="H1330" s="184"/>
    </row>
    <row r="1331" spans="4:8">
      <c r="D1331" s="198">
        <v>6229</v>
      </c>
      <c r="F1331" s="20"/>
      <c r="G1331" s="20"/>
      <c r="H1331" s="184"/>
    </row>
    <row r="1332" spans="4:8">
      <c r="D1332" s="198">
        <v>6231</v>
      </c>
      <c r="F1332" s="20"/>
      <c r="G1332" s="20"/>
      <c r="H1332" s="184"/>
    </row>
    <row r="1333" spans="4:8">
      <c r="D1333" s="198">
        <v>6233</v>
      </c>
      <c r="F1333" s="20"/>
      <c r="G1333" s="20"/>
      <c r="H1333" s="184"/>
    </row>
    <row r="1334" spans="4:8">
      <c r="D1334" s="198">
        <v>6234</v>
      </c>
      <c r="F1334" s="20"/>
      <c r="G1334" s="20"/>
      <c r="H1334" s="184"/>
    </row>
    <row r="1335" spans="4:8">
      <c r="D1335" s="198">
        <v>6236</v>
      </c>
      <c r="F1335" s="20"/>
      <c r="G1335" s="20"/>
      <c r="H1335" s="184"/>
    </row>
    <row r="1336" spans="4:8">
      <c r="D1336" s="198">
        <v>6237</v>
      </c>
      <c r="F1336" s="20"/>
      <c r="G1336" s="20"/>
      <c r="H1336" s="184"/>
    </row>
    <row r="1337" spans="4:8">
      <c r="D1337" s="198">
        <v>6238</v>
      </c>
      <c r="F1337" s="20"/>
      <c r="G1337" s="20"/>
      <c r="H1337" s="184"/>
    </row>
    <row r="1338" spans="4:8">
      <c r="D1338" s="198">
        <v>6240</v>
      </c>
      <c r="F1338" s="20"/>
      <c r="G1338" s="20"/>
      <c r="H1338" s="184"/>
    </row>
    <row r="1339" spans="4:8">
      <c r="D1339" s="198">
        <v>6241</v>
      </c>
      <c r="F1339" s="20"/>
      <c r="G1339" s="20"/>
      <c r="H1339" s="184"/>
    </row>
    <row r="1340" spans="4:8">
      <c r="D1340" s="198">
        <v>6242</v>
      </c>
      <c r="F1340" s="20"/>
      <c r="G1340" s="20"/>
      <c r="H1340" s="184"/>
    </row>
    <row r="1341" spans="4:8">
      <c r="D1341" s="198">
        <v>6244</v>
      </c>
      <c r="F1341" s="20"/>
      <c r="G1341" s="20"/>
      <c r="H1341" s="184"/>
    </row>
    <row r="1342" spans="4:8">
      <c r="D1342" s="198">
        <v>6245</v>
      </c>
      <c r="F1342" s="20"/>
      <c r="G1342" s="20"/>
      <c r="H1342" s="184"/>
    </row>
    <row r="1343" spans="4:8">
      <c r="D1343" s="198">
        <v>6246</v>
      </c>
      <c r="F1343" s="20"/>
      <c r="G1343" s="20"/>
      <c r="H1343" s="184"/>
    </row>
    <row r="1344" spans="4:8">
      <c r="D1344" s="198">
        <v>6247</v>
      </c>
      <c r="F1344" s="20"/>
      <c r="G1344" s="20"/>
      <c r="H1344" s="184"/>
    </row>
    <row r="1345" spans="4:8">
      <c r="D1345" s="198">
        <v>6248</v>
      </c>
      <c r="F1345" s="20"/>
      <c r="G1345" s="20"/>
      <c r="H1345" s="184"/>
    </row>
    <row r="1346" spans="4:8">
      <c r="D1346" s="198">
        <v>6250</v>
      </c>
      <c r="F1346" s="20"/>
      <c r="G1346" s="20"/>
      <c r="H1346" s="184"/>
    </row>
    <row r="1347" spans="4:8">
      <c r="D1347" s="198">
        <v>6259</v>
      </c>
      <c r="F1347" s="20"/>
      <c r="G1347" s="20"/>
      <c r="H1347" s="184"/>
    </row>
    <row r="1348" spans="4:8">
      <c r="D1348" s="198">
        <v>6261</v>
      </c>
      <c r="F1348" s="20"/>
      <c r="G1348" s="20"/>
      <c r="H1348" s="184"/>
    </row>
    <row r="1349" spans="4:8">
      <c r="D1349" s="198">
        <v>6263</v>
      </c>
      <c r="F1349" s="20"/>
      <c r="G1349" s="20"/>
      <c r="H1349" s="184"/>
    </row>
    <row r="1350" spans="4:8">
      <c r="D1350" s="198">
        <v>6264</v>
      </c>
      <c r="F1350" s="20"/>
      <c r="G1350" s="20"/>
      <c r="H1350" s="184"/>
    </row>
    <row r="1351" spans="4:8">
      <c r="D1351" s="198">
        <v>6265</v>
      </c>
      <c r="F1351" s="20"/>
      <c r="G1351" s="20"/>
      <c r="H1351" s="184"/>
    </row>
    <row r="1352" spans="4:8">
      <c r="D1352" s="198">
        <v>6266</v>
      </c>
      <c r="F1352" s="20"/>
      <c r="G1352" s="20"/>
      <c r="H1352" s="184"/>
    </row>
    <row r="1353" spans="4:8">
      <c r="D1353" s="198">
        <v>6270</v>
      </c>
      <c r="F1353" s="20"/>
      <c r="G1353" s="20"/>
      <c r="H1353" s="184"/>
    </row>
    <row r="1354" spans="4:8">
      <c r="D1354" s="198">
        <v>6274</v>
      </c>
      <c r="F1354" s="20"/>
      <c r="G1354" s="20"/>
      <c r="H1354" s="184"/>
    </row>
    <row r="1355" spans="4:8">
      <c r="D1355" s="198">
        <v>6275</v>
      </c>
      <c r="F1355" s="20"/>
      <c r="G1355" s="20"/>
      <c r="H1355" s="184"/>
    </row>
    <row r="1356" spans="4:8">
      <c r="D1356" s="198">
        <v>6276</v>
      </c>
      <c r="F1356" s="20"/>
      <c r="G1356" s="20"/>
      <c r="H1356" s="184"/>
    </row>
    <row r="1357" spans="4:8">
      <c r="D1357" s="198">
        <v>6279</v>
      </c>
      <c r="F1357" s="20"/>
      <c r="G1357" s="20"/>
      <c r="H1357" s="184"/>
    </row>
    <row r="1358" spans="4:8">
      <c r="D1358" s="198">
        <v>6284</v>
      </c>
      <c r="F1358" s="20"/>
      <c r="G1358" s="20"/>
      <c r="H1358" s="184"/>
    </row>
    <row r="1359" spans="4:8">
      <c r="D1359" s="198">
        <v>6287</v>
      </c>
      <c r="F1359" s="20"/>
      <c r="G1359" s="20"/>
      <c r="H1359" s="184"/>
    </row>
    <row r="1360" spans="4:8">
      <c r="D1360" s="198">
        <v>6290</v>
      </c>
      <c r="F1360" s="20"/>
      <c r="G1360" s="20"/>
      <c r="H1360" s="184"/>
    </row>
    <row r="1361" spans="4:8">
      <c r="D1361" s="198">
        <v>6291</v>
      </c>
      <c r="F1361" s="20"/>
      <c r="G1361" s="20"/>
      <c r="H1361" s="184"/>
    </row>
    <row r="1362" spans="4:8">
      <c r="D1362" s="198">
        <v>6292</v>
      </c>
      <c r="F1362" s="20"/>
      <c r="G1362" s="20"/>
      <c r="H1362" s="184"/>
    </row>
    <row r="1363" spans="4:8">
      <c r="D1363" s="198">
        <v>6294</v>
      </c>
      <c r="F1363" s="20"/>
      <c r="G1363" s="20"/>
      <c r="H1363" s="184"/>
    </row>
    <row r="1364" spans="4:8">
      <c r="D1364" s="198">
        <v>6298</v>
      </c>
      <c r="F1364" s="20"/>
      <c r="G1364" s="20"/>
      <c r="H1364" s="184"/>
    </row>
    <row r="1365" spans="4:8">
      <c r="D1365" s="198">
        <v>6404</v>
      </c>
      <c r="F1365" s="20"/>
      <c r="G1365" s="20"/>
      <c r="H1365" s="184"/>
    </row>
    <row r="1366" spans="4:8">
      <c r="D1366" s="198">
        <v>6411</v>
      </c>
      <c r="F1366" s="20"/>
      <c r="G1366" s="20"/>
      <c r="H1366" s="184"/>
    </row>
    <row r="1367" spans="4:8">
      <c r="D1367" s="198">
        <v>6417</v>
      </c>
      <c r="F1367" s="20"/>
      <c r="G1367" s="20"/>
      <c r="H1367" s="184"/>
    </row>
    <row r="1368" spans="4:8">
      <c r="D1368" s="198">
        <v>6419</v>
      </c>
      <c r="F1368" s="20"/>
      <c r="G1368" s="20"/>
      <c r="H1368" s="184"/>
    </row>
    <row r="1369" spans="4:8">
      <c r="D1369" s="198">
        <v>6426</v>
      </c>
      <c r="F1369" s="20"/>
      <c r="G1369" s="20"/>
      <c r="H1369" s="184"/>
    </row>
    <row r="1370" spans="4:8">
      <c r="D1370" s="198">
        <v>6432</v>
      </c>
      <c r="F1370" s="20"/>
      <c r="G1370" s="20"/>
      <c r="H1370" s="184"/>
    </row>
    <row r="1371" spans="4:8">
      <c r="D1371" s="198">
        <v>6457</v>
      </c>
      <c r="F1371" s="20"/>
      <c r="G1371" s="20"/>
      <c r="H1371" s="184"/>
    </row>
    <row r="1372" spans="4:8">
      <c r="D1372" s="198">
        <v>6488</v>
      </c>
      <c r="F1372" s="20"/>
      <c r="G1372" s="20"/>
      <c r="H1372" s="184"/>
    </row>
    <row r="1373" spans="4:8">
      <c r="D1373" s="198">
        <v>6506</v>
      </c>
      <c r="F1373" s="20"/>
      <c r="G1373" s="20"/>
      <c r="H1373" s="184"/>
    </row>
    <row r="1374" spans="4:8">
      <c r="D1374" s="198">
        <v>6508</v>
      </c>
      <c r="F1374" s="20"/>
      <c r="G1374" s="20"/>
      <c r="H1374" s="184"/>
    </row>
    <row r="1375" spans="4:8">
      <c r="D1375" s="198">
        <v>6509</v>
      </c>
      <c r="F1375" s="20"/>
      <c r="G1375" s="20"/>
      <c r="H1375" s="184"/>
    </row>
    <row r="1376" spans="4:8">
      <c r="D1376" s="198">
        <v>6603</v>
      </c>
      <c r="F1376" s="20"/>
      <c r="G1376" s="20"/>
      <c r="H1376" s="184"/>
    </row>
    <row r="1377" spans="4:8">
      <c r="D1377" s="198">
        <v>6609</v>
      </c>
      <c r="F1377" s="20"/>
      <c r="G1377" s="20"/>
      <c r="H1377" s="184"/>
    </row>
    <row r="1378" spans="4:8">
      <c r="D1378" s="198">
        <v>6803</v>
      </c>
      <c r="F1378" s="20"/>
      <c r="G1378" s="20"/>
      <c r="H1378" s="184"/>
    </row>
    <row r="1379" spans="4:8">
      <c r="D1379" s="198">
        <v>8024</v>
      </c>
      <c r="F1379" s="20"/>
      <c r="G1379" s="20"/>
      <c r="H1379" s="184"/>
    </row>
    <row r="1380" spans="4:8">
      <c r="D1380" s="198">
        <v>8027</v>
      </c>
      <c r="F1380" s="20"/>
      <c r="G1380" s="20"/>
      <c r="H1380" s="184"/>
    </row>
    <row r="1381" spans="4:8">
      <c r="D1381" s="198">
        <v>8032</v>
      </c>
      <c r="F1381" s="20"/>
      <c r="G1381" s="20"/>
      <c r="H1381" s="184"/>
    </row>
    <row r="1382" spans="4:8">
      <c r="D1382" s="198">
        <v>8034</v>
      </c>
      <c r="F1382" s="20"/>
      <c r="G1382" s="20"/>
      <c r="H1382" s="184"/>
    </row>
    <row r="1383" spans="4:8">
      <c r="D1383" s="198">
        <v>8038</v>
      </c>
      <c r="F1383" s="20"/>
      <c r="G1383" s="20"/>
      <c r="H1383" s="184"/>
    </row>
    <row r="1384" spans="4:8">
      <c r="D1384" s="198">
        <v>8040</v>
      </c>
      <c r="F1384" s="20"/>
      <c r="G1384" s="20"/>
      <c r="H1384" s="184"/>
    </row>
    <row r="1385" spans="4:8">
      <c r="D1385" s="198">
        <v>8042</v>
      </c>
      <c r="F1385" s="20"/>
      <c r="G1385" s="20"/>
      <c r="H1385" s="184"/>
    </row>
    <row r="1386" spans="4:8">
      <c r="D1386" s="198">
        <v>8043</v>
      </c>
      <c r="F1386" s="20"/>
      <c r="G1386" s="20"/>
      <c r="H1386" s="184"/>
    </row>
    <row r="1387" spans="4:8">
      <c r="D1387" s="198">
        <v>8044</v>
      </c>
      <c r="F1387" s="20"/>
      <c r="G1387" s="20"/>
      <c r="H1387" s="184"/>
    </row>
    <row r="1388" spans="4:8">
      <c r="D1388" s="198">
        <v>8047</v>
      </c>
      <c r="F1388" s="20"/>
      <c r="G1388" s="20"/>
      <c r="H1388" s="184"/>
    </row>
    <row r="1389" spans="4:8">
      <c r="D1389" s="198">
        <v>8048</v>
      </c>
      <c r="F1389" s="20"/>
      <c r="G1389" s="20"/>
      <c r="H1389" s="184"/>
    </row>
    <row r="1390" spans="4:8">
      <c r="D1390" s="198">
        <v>8049</v>
      </c>
      <c r="F1390" s="20"/>
      <c r="G1390" s="20"/>
      <c r="H1390" s="184"/>
    </row>
    <row r="1391" spans="4:8">
      <c r="D1391" s="198">
        <v>8050</v>
      </c>
      <c r="F1391" s="20"/>
      <c r="G1391" s="20"/>
      <c r="H1391" s="184"/>
    </row>
    <row r="1392" spans="4:8">
      <c r="D1392" s="198">
        <v>8053</v>
      </c>
      <c r="F1392" s="20"/>
      <c r="G1392" s="20"/>
      <c r="H1392" s="184"/>
    </row>
    <row r="1393" spans="4:8">
      <c r="D1393" s="198">
        <v>8054</v>
      </c>
      <c r="F1393" s="20"/>
      <c r="G1393" s="20"/>
      <c r="H1393" s="184"/>
    </row>
    <row r="1394" spans="4:8">
      <c r="D1394" s="198">
        <v>8059</v>
      </c>
      <c r="F1394" s="20"/>
      <c r="G1394" s="20"/>
      <c r="H1394" s="184"/>
    </row>
    <row r="1395" spans="4:8">
      <c r="D1395" s="198">
        <v>8064</v>
      </c>
      <c r="F1395" s="20"/>
      <c r="G1395" s="20"/>
      <c r="H1395" s="184"/>
    </row>
    <row r="1396" spans="4:8">
      <c r="D1396" s="198">
        <v>8066</v>
      </c>
      <c r="F1396" s="20"/>
      <c r="G1396" s="20"/>
      <c r="H1396" s="184"/>
    </row>
    <row r="1397" spans="4:8">
      <c r="D1397" s="198">
        <v>8067</v>
      </c>
      <c r="F1397" s="20"/>
      <c r="G1397" s="20"/>
      <c r="H1397" s="184"/>
    </row>
    <row r="1398" spans="4:8">
      <c r="D1398" s="198">
        <v>8068</v>
      </c>
      <c r="F1398" s="20"/>
      <c r="G1398" s="20"/>
      <c r="H1398" s="184"/>
    </row>
    <row r="1399" spans="4:8">
      <c r="D1399" s="198">
        <v>8069</v>
      </c>
      <c r="F1399" s="20"/>
      <c r="G1399" s="20"/>
      <c r="H1399" s="184"/>
    </row>
    <row r="1400" spans="4:8">
      <c r="D1400" s="198">
        <v>8071</v>
      </c>
      <c r="F1400" s="20"/>
      <c r="G1400" s="20"/>
      <c r="H1400" s="184"/>
    </row>
    <row r="1401" spans="4:8">
      <c r="D1401" s="198">
        <v>8074</v>
      </c>
      <c r="F1401" s="20"/>
      <c r="G1401" s="20"/>
      <c r="H1401" s="184"/>
    </row>
    <row r="1402" spans="4:8">
      <c r="D1402" s="198">
        <v>8076</v>
      </c>
      <c r="F1402" s="20"/>
      <c r="G1402" s="20"/>
      <c r="H1402" s="184"/>
    </row>
    <row r="1403" spans="4:8">
      <c r="D1403" s="198">
        <v>8077</v>
      </c>
      <c r="F1403" s="20"/>
      <c r="G1403" s="20"/>
      <c r="H1403" s="184"/>
    </row>
    <row r="1404" spans="4:8">
      <c r="D1404" s="198">
        <v>8079</v>
      </c>
      <c r="F1404" s="20"/>
      <c r="G1404" s="20"/>
      <c r="H1404" s="184"/>
    </row>
    <row r="1405" spans="4:8">
      <c r="D1405" s="198">
        <v>8080</v>
      </c>
      <c r="F1405" s="20"/>
      <c r="G1405" s="20"/>
      <c r="H1405" s="184"/>
    </row>
    <row r="1406" spans="4:8">
      <c r="D1406" s="198">
        <v>8082</v>
      </c>
      <c r="F1406" s="20"/>
      <c r="G1406" s="20"/>
      <c r="H1406" s="184"/>
    </row>
    <row r="1407" spans="4:8">
      <c r="D1407" s="198">
        <v>8083</v>
      </c>
      <c r="F1407" s="20"/>
      <c r="G1407" s="20"/>
      <c r="H1407" s="184"/>
    </row>
    <row r="1408" spans="4:8">
      <c r="D1408" s="198">
        <v>8084</v>
      </c>
      <c r="F1408" s="20"/>
      <c r="G1408" s="20"/>
      <c r="H1408" s="184"/>
    </row>
    <row r="1409" spans="4:8">
      <c r="D1409" s="198">
        <v>8085</v>
      </c>
      <c r="F1409" s="20"/>
      <c r="G1409" s="20"/>
      <c r="H1409" s="184"/>
    </row>
    <row r="1410" spans="4:8">
      <c r="D1410" s="198">
        <v>8086</v>
      </c>
      <c r="F1410" s="20"/>
      <c r="G1410" s="20"/>
      <c r="H1410" s="184"/>
    </row>
    <row r="1411" spans="4:8">
      <c r="D1411" s="198">
        <v>8087</v>
      </c>
      <c r="F1411" s="20"/>
      <c r="G1411" s="20"/>
      <c r="H1411" s="184"/>
    </row>
    <row r="1412" spans="4:8">
      <c r="D1412" s="198">
        <v>8088</v>
      </c>
      <c r="F1412" s="20"/>
      <c r="G1412" s="20"/>
      <c r="H1412" s="184"/>
    </row>
    <row r="1413" spans="4:8">
      <c r="D1413" s="198">
        <v>8091</v>
      </c>
      <c r="F1413" s="20"/>
      <c r="G1413" s="20"/>
      <c r="H1413" s="184"/>
    </row>
    <row r="1414" spans="4:8">
      <c r="D1414" s="198">
        <v>8092</v>
      </c>
      <c r="F1414" s="20"/>
      <c r="G1414" s="20"/>
      <c r="H1414" s="184"/>
    </row>
    <row r="1415" spans="4:8">
      <c r="D1415" s="198">
        <v>8093</v>
      </c>
      <c r="F1415" s="20"/>
      <c r="G1415" s="20"/>
      <c r="H1415" s="184"/>
    </row>
    <row r="1416" spans="4:8">
      <c r="D1416" s="198">
        <v>8096</v>
      </c>
      <c r="F1416" s="20"/>
      <c r="G1416" s="20"/>
      <c r="H1416" s="184"/>
    </row>
    <row r="1417" spans="4:8">
      <c r="D1417" s="198">
        <v>8097</v>
      </c>
      <c r="F1417" s="20"/>
      <c r="G1417" s="20"/>
      <c r="H1417" s="184"/>
    </row>
    <row r="1418" spans="4:8">
      <c r="D1418" s="198">
        <v>8099</v>
      </c>
      <c r="F1418" s="20"/>
      <c r="G1418" s="20"/>
      <c r="H1418" s="184"/>
    </row>
    <row r="1419" spans="4:8">
      <c r="D1419" s="198">
        <v>8107</v>
      </c>
      <c r="F1419" s="20"/>
      <c r="G1419" s="20"/>
      <c r="H1419" s="184"/>
    </row>
    <row r="1420" spans="4:8">
      <c r="D1420" s="198">
        <v>8109</v>
      </c>
      <c r="F1420" s="20"/>
      <c r="G1420" s="20"/>
      <c r="H1420" s="184"/>
    </row>
    <row r="1421" spans="4:8">
      <c r="D1421" s="198">
        <v>8111</v>
      </c>
      <c r="F1421" s="20"/>
      <c r="G1421" s="20"/>
      <c r="H1421" s="184"/>
    </row>
    <row r="1422" spans="4:8">
      <c r="D1422" s="198">
        <v>8121</v>
      </c>
      <c r="F1422" s="20"/>
      <c r="G1422" s="20"/>
      <c r="H1422" s="184"/>
    </row>
    <row r="1423" spans="4:8">
      <c r="D1423" s="198">
        <v>8147</v>
      </c>
      <c r="F1423" s="20"/>
      <c r="G1423" s="20"/>
      <c r="H1423" s="184"/>
    </row>
    <row r="1424" spans="4:8">
      <c r="D1424" s="198">
        <v>8155</v>
      </c>
      <c r="F1424" s="20"/>
      <c r="G1424" s="20"/>
      <c r="H1424" s="184"/>
    </row>
    <row r="1425" spans="4:8">
      <c r="D1425" s="198">
        <v>8171</v>
      </c>
      <c r="F1425" s="20"/>
      <c r="G1425" s="20"/>
      <c r="H1425" s="184"/>
    </row>
    <row r="1426" spans="4:8">
      <c r="D1426" s="198">
        <v>8176</v>
      </c>
      <c r="F1426" s="20"/>
      <c r="G1426" s="20"/>
      <c r="H1426" s="184"/>
    </row>
    <row r="1427" spans="4:8">
      <c r="D1427" s="198">
        <v>8182</v>
      </c>
      <c r="F1427" s="20"/>
      <c r="G1427" s="20"/>
      <c r="H1427" s="184"/>
    </row>
    <row r="1428" spans="4:8">
      <c r="D1428" s="198">
        <v>8183</v>
      </c>
      <c r="F1428" s="20"/>
      <c r="G1428" s="20"/>
      <c r="H1428" s="184"/>
    </row>
    <row r="1429" spans="4:8">
      <c r="D1429" s="198">
        <v>8234</v>
      </c>
      <c r="F1429" s="20"/>
      <c r="G1429" s="20"/>
      <c r="H1429" s="184"/>
    </row>
    <row r="1430" spans="4:8">
      <c r="D1430" s="198">
        <v>8240</v>
      </c>
      <c r="F1430" s="20"/>
      <c r="G1430" s="20"/>
      <c r="H1430" s="184"/>
    </row>
    <row r="1431" spans="4:8">
      <c r="D1431" s="198">
        <v>8255</v>
      </c>
      <c r="F1431" s="20"/>
      <c r="G1431" s="20"/>
      <c r="H1431" s="184"/>
    </row>
    <row r="1432" spans="4:8">
      <c r="D1432" s="198">
        <v>8266</v>
      </c>
      <c r="F1432" s="20"/>
      <c r="G1432" s="20"/>
      <c r="H1432" s="184"/>
    </row>
    <row r="1433" spans="4:8">
      <c r="D1433" s="198">
        <v>8277</v>
      </c>
      <c r="F1433" s="20"/>
      <c r="G1433" s="20"/>
      <c r="H1433" s="184"/>
    </row>
    <row r="1434" spans="4:8">
      <c r="D1434" s="198">
        <v>8287</v>
      </c>
      <c r="F1434" s="20"/>
      <c r="G1434" s="20"/>
      <c r="H1434" s="184"/>
    </row>
    <row r="1435" spans="4:8">
      <c r="D1435" s="198">
        <v>8289</v>
      </c>
      <c r="F1435" s="20"/>
      <c r="G1435" s="20"/>
      <c r="H1435" s="184"/>
    </row>
    <row r="1436" spans="4:8">
      <c r="D1436" s="198">
        <v>8291</v>
      </c>
      <c r="F1436" s="20"/>
      <c r="G1436" s="20"/>
      <c r="H1436" s="184"/>
    </row>
    <row r="1437" spans="4:8">
      <c r="D1437" s="198">
        <v>8299</v>
      </c>
      <c r="F1437" s="20"/>
      <c r="G1437" s="20"/>
      <c r="H1437" s="184"/>
    </row>
    <row r="1438" spans="4:8">
      <c r="D1438" s="198">
        <v>8349</v>
      </c>
      <c r="F1438" s="20"/>
      <c r="G1438" s="20"/>
      <c r="H1438" s="184"/>
    </row>
    <row r="1439" spans="4:8">
      <c r="D1439" s="198">
        <v>8354</v>
      </c>
      <c r="F1439" s="20"/>
      <c r="G1439" s="20"/>
      <c r="H1439" s="184"/>
    </row>
    <row r="1440" spans="4:8">
      <c r="D1440" s="198">
        <v>8358</v>
      </c>
      <c r="F1440" s="20"/>
      <c r="G1440" s="20"/>
      <c r="H1440" s="184"/>
    </row>
    <row r="1441" spans="4:8">
      <c r="D1441" s="198">
        <v>8383</v>
      </c>
      <c r="F1441" s="20"/>
      <c r="G1441" s="20"/>
      <c r="H1441" s="184"/>
    </row>
    <row r="1442" spans="4:8">
      <c r="D1442" s="198">
        <v>8390</v>
      </c>
      <c r="F1442" s="20"/>
      <c r="G1442" s="20"/>
      <c r="H1442" s="184"/>
    </row>
    <row r="1443" spans="4:8">
      <c r="D1443" s="198">
        <v>8401</v>
      </c>
      <c r="F1443" s="20"/>
      <c r="G1443" s="20"/>
      <c r="H1443" s="184"/>
    </row>
    <row r="1444" spans="4:8">
      <c r="D1444" s="198">
        <v>8403</v>
      </c>
      <c r="F1444" s="20"/>
      <c r="G1444" s="20"/>
      <c r="H1444" s="184"/>
    </row>
    <row r="1445" spans="4:8">
      <c r="D1445" s="198">
        <v>8406</v>
      </c>
      <c r="F1445" s="20"/>
      <c r="G1445" s="20"/>
      <c r="H1445" s="184"/>
    </row>
    <row r="1446" spans="4:8">
      <c r="D1446" s="198">
        <v>8409</v>
      </c>
      <c r="F1446" s="20"/>
      <c r="G1446" s="20"/>
      <c r="H1446" s="184"/>
    </row>
    <row r="1447" spans="4:8">
      <c r="D1447" s="198">
        <v>8410</v>
      </c>
      <c r="F1447" s="20"/>
      <c r="G1447" s="20"/>
      <c r="H1447" s="184"/>
    </row>
    <row r="1448" spans="4:8">
      <c r="D1448" s="198">
        <v>8416</v>
      </c>
      <c r="F1448" s="20"/>
      <c r="G1448" s="20"/>
      <c r="H1448" s="184"/>
    </row>
    <row r="1449" spans="4:8">
      <c r="D1449" s="198">
        <v>8418</v>
      </c>
      <c r="F1449" s="20"/>
      <c r="G1449" s="20"/>
      <c r="H1449" s="184"/>
    </row>
    <row r="1450" spans="4:8">
      <c r="D1450" s="198">
        <v>8420</v>
      </c>
      <c r="F1450" s="20"/>
      <c r="G1450" s="20"/>
      <c r="H1450" s="184"/>
    </row>
    <row r="1451" spans="4:8">
      <c r="D1451" s="198">
        <v>8421</v>
      </c>
      <c r="F1451" s="20"/>
      <c r="G1451" s="20"/>
      <c r="H1451" s="184"/>
    </row>
    <row r="1452" spans="4:8">
      <c r="D1452" s="198">
        <v>8423</v>
      </c>
      <c r="F1452" s="20"/>
      <c r="G1452" s="20"/>
      <c r="H1452" s="184"/>
    </row>
    <row r="1453" spans="4:8">
      <c r="D1453" s="198">
        <v>8424</v>
      </c>
      <c r="F1453" s="20"/>
      <c r="G1453" s="20"/>
      <c r="H1453" s="184"/>
    </row>
    <row r="1454" spans="4:8">
      <c r="D1454" s="198">
        <v>8426</v>
      </c>
      <c r="F1454" s="20"/>
      <c r="G1454" s="20"/>
      <c r="H1454" s="184"/>
    </row>
    <row r="1455" spans="4:8">
      <c r="D1455" s="198">
        <v>8431</v>
      </c>
      <c r="F1455" s="20"/>
      <c r="G1455" s="20"/>
      <c r="H1455" s="184"/>
    </row>
    <row r="1456" spans="4:8">
      <c r="D1456" s="198">
        <v>8432</v>
      </c>
      <c r="F1456" s="20"/>
      <c r="G1456" s="20"/>
      <c r="H1456" s="184"/>
    </row>
    <row r="1457" spans="4:8">
      <c r="D1457" s="198">
        <v>8433</v>
      </c>
      <c r="F1457" s="20"/>
      <c r="G1457" s="20"/>
      <c r="H1457" s="184"/>
    </row>
    <row r="1458" spans="4:8">
      <c r="D1458" s="198">
        <v>8435</v>
      </c>
      <c r="F1458" s="20"/>
      <c r="G1458" s="20"/>
      <c r="H1458" s="184"/>
    </row>
    <row r="1459" spans="4:8">
      <c r="D1459" s="198">
        <v>8436</v>
      </c>
      <c r="F1459" s="20"/>
      <c r="G1459" s="20"/>
      <c r="H1459" s="184"/>
    </row>
    <row r="1460" spans="4:8">
      <c r="D1460" s="198">
        <v>8437</v>
      </c>
      <c r="F1460" s="20"/>
      <c r="G1460" s="20"/>
      <c r="H1460" s="184"/>
    </row>
    <row r="1461" spans="4:8">
      <c r="D1461" s="198">
        <v>8444</v>
      </c>
      <c r="F1461" s="20"/>
      <c r="G1461" s="20"/>
      <c r="H1461" s="184"/>
    </row>
    <row r="1462" spans="4:8">
      <c r="D1462" s="198">
        <v>8446</v>
      </c>
      <c r="F1462" s="20"/>
      <c r="G1462" s="20"/>
      <c r="H1462" s="184"/>
    </row>
    <row r="1463" spans="4:8">
      <c r="D1463" s="198">
        <v>8450</v>
      </c>
      <c r="F1463" s="20"/>
      <c r="G1463" s="20"/>
      <c r="H1463" s="184"/>
    </row>
    <row r="1464" spans="4:8">
      <c r="D1464" s="198">
        <v>8905</v>
      </c>
      <c r="F1464" s="20"/>
      <c r="G1464" s="20"/>
      <c r="H1464" s="184"/>
    </row>
    <row r="1465" spans="4:8">
      <c r="D1465" s="198">
        <v>8906</v>
      </c>
      <c r="F1465" s="20"/>
      <c r="G1465" s="20"/>
      <c r="H1465" s="184"/>
    </row>
    <row r="1466" spans="4:8">
      <c r="D1466" s="198">
        <v>8908</v>
      </c>
      <c r="F1466" s="20"/>
      <c r="G1466" s="20"/>
      <c r="H1466" s="184"/>
    </row>
    <row r="1467" spans="4:8">
      <c r="D1467" s="198">
        <v>8913</v>
      </c>
      <c r="F1467" s="20"/>
      <c r="G1467" s="20"/>
      <c r="H1467" s="184"/>
    </row>
    <row r="1468" spans="4:8">
      <c r="D1468" s="198">
        <v>8916</v>
      </c>
      <c r="F1468" s="20"/>
      <c r="G1468" s="20"/>
      <c r="H1468" s="184"/>
    </row>
    <row r="1469" spans="4:8">
      <c r="D1469" s="198">
        <v>8917</v>
      </c>
      <c r="F1469" s="20"/>
      <c r="G1469" s="20"/>
      <c r="H1469" s="184"/>
    </row>
    <row r="1470" spans="4:8">
      <c r="D1470" s="198">
        <v>8921</v>
      </c>
      <c r="F1470" s="20"/>
      <c r="G1470" s="20"/>
      <c r="H1470" s="184"/>
    </row>
    <row r="1471" spans="4:8">
      <c r="D1471" s="198">
        <v>8923</v>
      </c>
      <c r="F1471" s="20"/>
      <c r="G1471" s="20"/>
      <c r="H1471" s="184"/>
    </row>
    <row r="1472" spans="4:8">
      <c r="D1472" s="198">
        <v>8924</v>
      </c>
      <c r="F1472" s="20"/>
      <c r="G1472" s="20"/>
      <c r="H1472" s="184"/>
    </row>
    <row r="1473" spans="4:8">
      <c r="D1473" s="198">
        <v>8925</v>
      </c>
      <c r="F1473" s="20"/>
      <c r="G1473" s="20"/>
      <c r="H1473" s="184"/>
    </row>
    <row r="1474" spans="4:8">
      <c r="D1474" s="198">
        <v>8927</v>
      </c>
      <c r="F1474" s="20"/>
      <c r="G1474" s="20"/>
      <c r="H1474" s="184"/>
    </row>
    <row r="1475" spans="4:8">
      <c r="D1475" s="198">
        <v>8928</v>
      </c>
      <c r="F1475" s="20"/>
      <c r="G1475" s="20"/>
      <c r="H1475" s="184"/>
    </row>
    <row r="1476" spans="4:8">
      <c r="D1476" s="198">
        <v>8929</v>
      </c>
      <c r="F1476" s="20"/>
      <c r="G1476" s="20"/>
      <c r="H1476" s="184"/>
    </row>
    <row r="1477" spans="4:8">
      <c r="D1477" s="198">
        <v>8930</v>
      </c>
      <c r="F1477" s="20"/>
      <c r="G1477" s="20"/>
      <c r="H1477" s="184"/>
    </row>
    <row r="1478" spans="4:8">
      <c r="D1478" s="198">
        <v>8931</v>
      </c>
      <c r="F1478" s="20"/>
      <c r="G1478" s="20"/>
      <c r="H1478" s="184"/>
    </row>
    <row r="1479" spans="4:8">
      <c r="D1479" s="198">
        <v>8932</v>
      </c>
      <c r="F1479" s="20"/>
      <c r="G1479" s="20"/>
      <c r="H1479" s="184"/>
    </row>
    <row r="1480" spans="4:8">
      <c r="D1480" s="198">
        <v>8933</v>
      </c>
      <c r="F1480" s="20"/>
      <c r="G1480" s="20"/>
      <c r="H1480" s="184"/>
    </row>
    <row r="1481" spans="4:8">
      <c r="D1481" s="198">
        <v>8934</v>
      </c>
      <c r="F1481" s="20"/>
      <c r="G1481" s="20"/>
      <c r="H1481" s="184"/>
    </row>
    <row r="1482" spans="4:8">
      <c r="D1482" s="198">
        <v>8935</v>
      </c>
      <c r="F1482" s="20"/>
      <c r="G1482" s="20"/>
      <c r="H1482" s="184"/>
    </row>
    <row r="1483" spans="4:8">
      <c r="D1483" s="198">
        <v>8936</v>
      </c>
      <c r="F1483" s="20"/>
      <c r="G1483" s="20"/>
      <c r="H1483" s="184"/>
    </row>
    <row r="1484" spans="4:8">
      <c r="D1484" s="198">
        <v>8937</v>
      </c>
      <c r="F1484" s="20"/>
      <c r="G1484" s="20"/>
      <c r="H1484" s="184"/>
    </row>
    <row r="1485" spans="4:8">
      <c r="D1485" s="198">
        <v>8938</v>
      </c>
      <c r="F1485" s="20"/>
      <c r="G1485" s="20"/>
      <c r="H1485" s="184"/>
    </row>
    <row r="1486" spans="4:8">
      <c r="D1486" s="198">
        <v>8941</v>
      </c>
      <c r="F1486" s="20"/>
      <c r="G1486" s="20"/>
      <c r="H1486" s="184"/>
    </row>
    <row r="1487" spans="4:8">
      <c r="D1487" s="198">
        <v>8942</v>
      </c>
      <c r="F1487" s="20"/>
      <c r="G1487" s="20"/>
      <c r="H1487" s="184"/>
    </row>
    <row r="1488" spans="4:8">
      <c r="D1488" s="198">
        <v>9949</v>
      </c>
      <c r="F1488" s="20"/>
      <c r="G1488" s="20"/>
      <c r="H1488" s="184"/>
    </row>
    <row r="1489" spans="4:8">
      <c r="D1489" s="198">
        <v>9950</v>
      </c>
      <c r="F1489" s="20"/>
      <c r="G1489" s="20"/>
      <c r="H1489" s="184"/>
    </row>
    <row r="1490" spans="4:8">
      <c r="D1490" s="198">
        <v>9951</v>
      </c>
      <c r="F1490" s="20"/>
      <c r="G1490" s="20"/>
      <c r="H1490" s="184"/>
    </row>
    <row r="1491" spans="4:8">
      <c r="D1491" s="198">
        <v>9960</v>
      </c>
      <c r="F1491" s="20"/>
      <c r="G1491" s="20"/>
      <c r="H1491" s="184"/>
    </row>
    <row r="1492" spans="4:8">
      <c r="D1492" s="198">
        <v>9962</v>
      </c>
      <c r="F1492" s="20"/>
      <c r="G1492" s="20"/>
      <c r="H1492" s="184"/>
    </row>
    <row r="1493" spans="4:8">
      <c r="F1493" s="20"/>
      <c r="G1493" s="20"/>
      <c r="H1493" s="184"/>
    </row>
    <row r="1494" spans="4:8">
      <c r="F1494" s="20"/>
      <c r="G1494" s="20"/>
      <c r="H1494" s="184"/>
    </row>
    <row r="1495" spans="4:8">
      <c r="H1495" s="184"/>
    </row>
    <row r="1496" spans="4:8">
      <c r="H1496" s="184"/>
    </row>
    <row r="1497" spans="4:8">
      <c r="H1497" s="184"/>
    </row>
    <row r="1498" spans="4:8">
      <c r="H1498" s="184"/>
    </row>
    <row r="1499" spans="4:8">
      <c r="H1499" s="184"/>
    </row>
    <row r="1500" spans="4:8">
      <c r="H1500" s="184"/>
    </row>
    <row r="1501" spans="4:8">
      <c r="H1501" s="184"/>
    </row>
    <row r="1502" spans="4:8">
      <c r="H1502" s="184"/>
    </row>
    <row r="1503" spans="4:8">
      <c r="H1503" s="184"/>
    </row>
    <row r="1504" spans="4:8">
      <c r="H1504" s="184"/>
    </row>
    <row r="1505" spans="8:8">
      <c r="H1505" s="184"/>
    </row>
    <row r="1506" spans="8:8">
      <c r="H1506" s="184"/>
    </row>
    <row r="1507" spans="8:8">
      <c r="H1507" s="184"/>
    </row>
    <row r="1508" spans="8:8">
      <c r="H1508" s="184"/>
    </row>
    <row r="1509" spans="8:8">
      <c r="H1509" s="184"/>
    </row>
    <row r="1510" spans="8:8">
      <c r="H1510" s="184"/>
    </row>
    <row r="1511" spans="8:8">
      <c r="H1511" s="184"/>
    </row>
    <row r="1512" spans="8:8">
      <c r="H1512" s="184"/>
    </row>
    <row r="1513" spans="8:8">
      <c r="H1513" s="184"/>
    </row>
    <row r="1514" spans="8:8">
      <c r="H1514" s="184"/>
    </row>
    <row r="1515" spans="8:8">
      <c r="H1515" s="184"/>
    </row>
    <row r="1516" spans="8:8">
      <c r="H1516" s="184"/>
    </row>
    <row r="1517" spans="8:8">
      <c r="H1517" s="184"/>
    </row>
    <row r="1518" spans="8:8">
      <c r="H1518" s="184"/>
    </row>
    <row r="1519" spans="8:8">
      <c r="H1519" s="184"/>
    </row>
  </sheetData>
  <sortState ref="I2:J1520">
    <sortCondition ref="J2:J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8">
        <v>42366</v>
      </c>
    </row>
    <row r="2" spans="1:30">
      <c r="A2" t="str">
        <f>"01001T"</f>
        <v>01001T</v>
      </c>
      <c r="B2" t="s">
        <v>2988</v>
      </c>
      <c r="C2">
        <v>15.91</v>
      </c>
    </row>
    <row r="3" spans="1:30">
      <c r="A3" t="str">
        <f>"01002T"</f>
        <v>01002T</v>
      </c>
      <c r="B3" t="s">
        <v>2989</v>
      </c>
      <c r="C3">
        <v>17.399999999999999</v>
      </c>
    </row>
    <row r="4" spans="1:30">
      <c r="A4" t="str">
        <f>"01003T"</f>
        <v>01003T</v>
      </c>
      <c r="B4" t="s">
        <v>2424</v>
      </c>
      <c r="C4">
        <v>13.89</v>
      </c>
    </row>
    <row r="5" spans="1:30">
      <c r="A5" t="str">
        <f>"01004T"</f>
        <v>01004T</v>
      </c>
      <c r="B5" t="s">
        <v>2425</v>
      </c>
      <c r="C5">
        <v>12.59</v>
      </c>
      <c r="Y5" s="46"/>
      <c r="Z5" s="46"/>
      <c r="AD5" s="46"/>
    </row>
    <row r="6" spans="1:30">
      <c r="A6" t="str">
        <f>"01007T"</f>
        <v>01007T</v>
      </c>
      <c r="B6" t="s">
        <v>2426</v>
      </c>
      <c r="C6">
        <v>15.57</v>
      </c>
      <c r="Y6" s="46"/>
      <c r="Z6" s="46"/>
      <c r="AD6" s="46"/>
    </row>
    <row r="7" spans="1:30">
      <c r="A7">
        <v>1101</v>
      </c>
      <c r="B7" t="s">
        <v>544</v>
      </c>
      <c r="C7">
        <v>27.95</v>
      </c>
      <c r="Y7" s="46"/>
      <c r="Z7" s="46"/>
      <c r="AD7" s="46"/>
    </row>
    <row r="8" spans="1:30">
      <c r="A8">
        <v>1102</v>
      </c>
      <c r="B8" t="s">
        <v>545</v>
      </c>
      <c r="C8">
        <v>27.8</v>
      </c>
      <c r="Y8" s="46"/>
      <c r="Z8" s="46"/>
      <c r="AD8" s="46"/>
    </row>
    <row r="9" spans="1:30">
      <c r="A9">
        <v>1103</v>
      </c>
      <c r="B9" t="s">
        <v>546</v>
      </c>
      <c r="C9">
        <v>9.5500000000000007</v>
      </c>
      <c r="Y9" s="46"/>
      <c r="Z9" s="46"/>
      <c r="AD9" s="46"/>
    </row>
    <row r="10" spans="1:30">
      <c r="A10">
        <v>1104</v>
      </c>
      <c r="B10" t="s">
        <v>547</v>
      </c>
      <c r="C10">
        <v>22.25</v>
      </c>
      <c r="Y10" s="46"/>
      <c r="Z10" s="46"/>
      <c r="AD10" s="46"/>
    </row>
    <row r="11" spans="1:30">
      <c r="A11">
        <v>1108</v>
      </c>
      <c r="B11" t="s">
        <v>548</v>
      </c>
      <c r="C11">
        <v>10.050000000000001</v>
      </c>
      <c r="Y11" s="46"/>
      <c r="Z11" s="46"/>
      <c r="AD11" s="46"/>
    </row>
    <row r="12" spans="1:30">
      <c r="A12">
        <v>1109</v>
      </c>
      <c r="B12" t="s">
        <v>1851</v>
      </c>
      <c r="C12">
        <v>10.050000000000001</v>
      </c>
      <c r="Y12" s="46"/>
      <c r="Z12" s="46"/>
      <c r="AD12" s="46"/>
    </row>
    <row r="13" spans="1:30">
      <c r="A13">
        <v>1110</v>
      </c>
      <c r="B13" t="s">
        <v>549</v>
      </c>
      <c r="C13">
        <v>15.6</v>
      </c>
      <c r="Y13" s="46"/>
      <c r="Z13" s="46"/>
      <c r="AA13" s="46"/>
      <c r="AD13" s="46"/>
    </row>
    <row r="14" spans="1:30">
      <c r="A14">
        <v>1201</v>
      </c>
      <c r="B14" t="s">
        <v>550</v>
      </c>
      <c r="C14">
        <v>17.55</v>
      </c>
      <c r="Y14" s="46"/>
      <c r="Z14" s="46"/>
      <c r="AD14" s="46"/>
    </row>
    <row r="15" spans="1:30">
      <c r="A15">
        <v>1203</v>
      </c>
      <c r="B15" t="s">
        <v>551</v>
      </c>
      <c r="C15">
        <v>22.9</v>
      </c>
      <c r="Y15" s="46"/>
      <c r="Z15" s="46"/>
      <c r="AD15" s="46"/>
    </row>
    <row r="16" spans="1:30">
      <c r="A16">
        <v>1210</v>
      </c>
      <c r="B16" t="s">
        <v>552</v>
      </c>
      <c r="C16">
        <v>20.149999999999999</v>
      </c>
      <c r="Y16" s="46"/>
      <c r="Z16" s="46"/>
      <c r="AD16" s="46"/>
    </row>
    <row r="17" spans="1:30">
      <c r="A17">
        <v>1213</v>
      </c>
      <c r="B17" t="s">
        <v>553</v>
      </c>
      <c r="C17">
        <v>15.15</v>
      </c>
      <c r="Y17" s="46"/>
      <c r="Z17" s="46"/>
      <c r="AA17" s="46"/>
      <c r="AD17" s="46"/>
    </row>
    <row r="18" spans="1:30">
      <c r="A18">
        <v>1215</v>
      </c>
      <c r="B18" t="s">
        <v>554</v>
      </c>
      <c r="C18">
        <v>23</v>
      </c>
      <c r="Y18" s="46"/>
      <c r="Z18" s="46"/>
      <c r="AD18" s="46"/>
    </row>
    <row r="19" spans="1:30">
      <c r="A19">
        <v>1216</v>
      </c>
      <c r="B19" t="s">
        <v>555</v>
      </c>
      <c r="C19">
        <v>55.6</v>
      </c>
      <c r="Y19" s="46"/>
      <c r="Z19" s="46"/>
      <c r="AD19" s="46"/>
    </row>
    <row r="20" spans="1:30">
      <c r="A20">
        <v>1217</v>
      </c>
      <c r="B20" t="s">
        <v>556</v>
      </c>
      <c r="C20">
        <v>9</v>
      </c>
      <c r="Y20" s="46"/>
      <c r="Z20" s="46"/>
      <c r="AD20" s="46"/>
    </row>
    <row r="21" spans="1:30">
      <c r="A21">
        <v>1218</v>
      </c>
      <c r="B21" t="s">
        <v>557</v>
      </c>
      <c r="C21">
        <v>11.9</v>
      </c>
      <c r="Y21" s="46"/>
      <c r="Z21" s="46"/>
      <c r="AD21" s="46"/>
    </row>
    <row r="22" spans="1:30">
      <c r="A22">
        <v>1219</v>
      </c>
      <c r="B22" t="s">
        <v>558</v>
      </c>
      <c r="C22">
        <v>14.8</v>
      </c>
      <c r="Y22" s="46"/>
      <c r="Z22" s="46"/>
      <c r="AD22" s="46"/>
    </row>
    <row r="23" spans="1:30">
      <c r="A23">
        <v>1220</v>
      </c>
      <c r="B23" t="s">
        <v>559</v>
      </c>
      <c r="C23">
        <v>10.55</v>
      </c>
      <c r="Y23" s="46"/>
      <c r="Z23" s="46"/>
      <c r="AA23" s="46"/>
      <c r="AD23" s="46"/>
    </row>
    <row r="24" spans="1:30">
      <c r="A24">
        <v>1225</v>
      </c>
      <c r="B24" t="s">
        <v>560</v>
      </c>
      <c r="C24">
        <v>25.75</v>
      </c>
      <c r="Y24" s="46"/>
      <c r="Z24" s="46"/>
      <c r="AD24" s="46"/>
    </row>
    <row r="25" spans="1:30">
      <c r="A25">
        <v>1227</v>
      </c>
      <c r="B25" t="s">
        <v>561</v>
      </c>
      <c r="C25">
        <v>80.099999999999994</v>
      </c>
      <c r="Y25" s="46"/>
      <c r="Z25" s="46"/>
      <c r="AA25" s="46"/>
      <c r="AD25" s="46"/>
    </row>
    <row r="26" spans="1:30">
      <c r="A26">
        <v>1229</v>
      </c>
      <c r="B26" t="s">
        <v>562</v>
      </c>
      <c r="C26">
        <v>19.05</v>
      </c>
      <c r="Y26" s="46"/>
      <c r="Z26" s="46"/>
      <c r="AA26" s="46"/>
      <c r="AD26" s="46"/>
    </row>
    <row r="27" spans="1:30">
      <c r="A27">
        <v>1231</v>
      </c>
      <c r="B27" t="s">
        <v>563</v>
      </c>
      <c r="C27">
        <v>28.25</v>
      </c>
      <c r="Y27" s="46"/>
      <c r="Z27" s="46"/>
      <c r="AA27" s="46"/>
      <c r="AD27" s="46"/>
    </row>
    <row r="28" spans="1:30">
      <c r="A28">
        <v>1232</v>
      </c>
      <c r="B28" t="s">
        <v>564</v>
      </c>
      <c r="C28">
        <v>74.8</v>
      </c>
      <c r="Y28" s="46"/>
      <c r="Z28" s="46"/>
      <c r="AA28" s="46"/>
      <c r="AD28" s="46"/>
    </row>
    <row r="29" spans="1:30">
      <c r="A29">
        <v>1233</v>
      </c>
      <c r="B29" t="s">
        <v>565</v>
      </c>
      <c r="C29">
        <v>35.799999999999997</v>
      </c>
      <c r="Y29" s="46"/>
      <c r="Z29" s="46"/>
      <c r="AD29" s="46"/>
    </row>
    <row r="30" spans="1:30">
      <c r="A30">
        <v>1234</v>
      </c>
      <c r="B30" t="s">
        <v>566</v>
      </c>
      <c r="C30">
        <v>31.25</v>
      </c>
      <c r="Y30" s="46"/>
      <c r="Z30" s="46"/>
      <c r="AD30" s="46"/>
    </row>
    <row r="31" spans="1:30">
      <c r="A31">
        <v>1235</v>
      </c>
      <c r="B31" t="s">
        <v>567</v>
      </c>
      <c r="C31">
        <v>19.05</v>
      </c>
      <c r="Y31" s="46"/>
      <c r="Z31" s="46"/>
      <c r="AD31" s="46"/>
    </row>
    <row r="32" spans="1:30">
      <c r="A32">
        <v>1236</v>
      </c>
      <c r="B32" t="s">
        <v>568</v>
      </c>
      <c r="C32">
        <v>20.8</v>
      </c>
      <c r="Y32" s="46"/>
      <c r="Z32" s="46"/>
      <c r="AA32" s="46"/>
      <c r="AD32" s="46"/>
    </row>
    <row r="33" spans="1:30">
      <c r="A33">
        <v>1262</v>
      </c>
      <c r="B33" t="s">
        <v>569</v>
      </c>
      <c r="C33">
        <v>123</v>
      </c>
      <c r="Y33" s="46"/>
      <c r="Z33" s="46"/>
      <c r="AA33" s="46"/>
      <c r="AD33" s="46"/>
    </row>
    <row r="34" spans="1:30">
      <c r="A34">
        <v>1301</v>
      </c>
      <c r="B34" t="s">
        <v>570</v>
      </c>
      <c r="C34">
        <v>74</v>
      </c>
      <c r="Y34" s="46"/>
      <c r="Z34" s="46"/>
      <c r="AD34" s="46"/>
    </row>
    <row r="35" spans="1:30">
      <c r="A35">
        <v>1303</v>
      </c>
      <c r="B35" t="s">
        <v>571</v>
      </c>
      <c r="C35">
        <v>58.7</v>
      </c>
      <c r="Y35" s="46"/>
      <c r="Z35" s="46"/>
      <c r="AA35" s="46"/>
      <c r="AD35" s="46"/>
    </row>
    <row r="36" spans="1:30">
      <c r="A36">
        <v>1304</v>
      </c>
      <c r="B36" t="s">
        <v>572</v>
      </c>
      <c r="C36">
        <v>13.3</v>
      </c>
      <c r="Y36" s="46"/>
      <c r="Z36" s="46"/>
      <c r="AD36" s="46"/>
    </row>
    <row r="37" spans="1:30">
      <c r="A37">
        <v>1305</v>
      </c>
      <c r="B37" t="s">
        <v>573</v>
      </c>
      <c r="C37">
        <v>14.75</v>
      </c>
      <c r="Y37" s="46"/>
      <c r="Z37" s="46"/>
      <c r="AD37" s="46"/>
    </row>
    <row r="38" spans="1:30">
      <c r="A38">
        <v>1307</v>
      </c>
      <c r="B38" t="s">
        <v>574</v>
      </c>
      <c r="C38">
        <v>39.200000000000003</v>
      </c>
      <c r="Y38" s="46"/>
      <c r="Z38" s="46"/>
      <c r="AD38" s="46"/>
    </row>
    <row r="39" spans="1:30">
      <c r="A39">
        <v>1308</v>
      </c>
      <c r="B39" t="s">
        <v>575</v>
      </c>
      <c r="C39">
        <v>17.399999999999999</v>
      </c>
      <c r="Y39" s="46"/>
      <c r="Z39" s="46"/>
      <c r="AD39" s="46"/>
    </row>
    <row r="40" spans="1:30">
      <c r="A40">
        <v>1309</v>
      </c>
      <c r="B40" t="s">
        <v>576</v>
      </c>
      <c r="C40">
        <v>7.57</v>
      </c>
      <c r="Y40" s="46"/>
      <c r="Z40" s="46"/>
      <c r="AA40" s="46"/>
      <c r="AD40" s="46"/>
    </row>
    <row r="41" spans="1:30">
      <c r="A41">
        <v>1310</v>
      </c>
      <c r="B41" t="s">
        <v>577</v>
      </c>
      <c r="C41">
        <v>17.2</v>
      </c>
      <c r="Y41" s="46"/>
      <c r="Z41" s="46"/>
      <c r="AD41" s="46"/>
    </row>
    <row r="42" spans="1:30">
      <c r="A42">
        <v>1312</v>
      </c>
      <c r="B42" t="s">
        <v>578</v>
      </c>
      <c r="C42">
        <v>15.85</v>
      </c>
      <c r="Y42" s="46"/>
      <c r="Z42" s="46"/>
      <c r="AD42" s="46"/>
    </row>
    <row r="43" spans="1:30">
      <c r="A43" t="s">
        <v>258</v>
      </c>
      <c r="B43" t="s">
        <v>579</v>
      </c>
      <c r="C43" t="s">
        <v>1901</v>
      </c>
      <c r="Y43" s="46"/>
      <c r="Z43" s="46"/>
      <c r="AD43" s="46"/>
    </row>
    <row r="44" spans="1:30">
      <c r="A44">
        <v>1313</v>
      </c>
      <c r="B44" t="s">
        <v>580</v>
      </c>
      <c r="C44">
        <v>9.43</v>
      </c>
      <c r="Y44" s="46"/>
      <c r="Z44" s="46"/>
      <c r="AA44" s="46"/>
      <c r="AD44" s="46"/>
    </row>
    <row r="45" spans="1:30">
      <c r="A45">
        <v>1314</v>
      </c>
      <c r="B45" t="s">
        <v>581</v>
      </c>
      <c r="C45">
        <v>8.09</v>
      </c>
      <c r="Y45" s="46"/>
      <c r="Z45" s="46"/>
      <c r="AD45" s="46"/>
    </row>
    <row r="46" spans="1:30">
      <c r="A46">
        <v>1315</v>
      </c>
      <c r="B46" t="s">
        <v>582</v>
      </c>
      <c r="C46">
        <v>23.1</v>
      </c>
      <c r="Y46" s="46"/>
      <c r="Z46" s="46"/>
      <c r="AD46" s="46"/>
    </row>
    <row r="47" spans="1:30">
      <c r="A47">
        <v>1316</v>
      </c>
      <c r="B47" t="s">
        <v>583</v>
      </c>
      <c r="C47">
        <v>9.8000000000000007</v>
      </c>
      <c r="Y47" s="46"/>
      <c r="Z47" s="46"/>
      <c r="AA47" s="46"/>
      <c r="AD47" s="46"/>
    </row>
    <row r="48" spans="1:30">
      <c r="A48">
        <v>1319</v>
      </c>
      <c r="B48" t="s">
        <v>584</v>
      </c>
      <c r="C48">
        <v>40</v>
      </c>
      <c r="Y48" s="46"/>
      <c r="Z48" s="46"/>
      <c r="AD48" s="46"/>
    </row>
    <row r="49" spans="1:30">
      <c r="A49">
        <v>1321</v>
      </c>
      <c r="B49" t="s">
        <v>585</v>
      </c>
      <c r="C49">
        <v>25.95</v>
      </c>
      <c r="Y49" s="46"/>
      <c r="Z49" s="46"/>
      <c r="AD49" s="46"/>
    </row>
    <row r="50" spans="1:30">
      <c r="A50">
        <v>1323</v>
      </c>
      <c r="B50" t="s">
        <v>586</v>
      </c>
      <c r="C50">
        <v>24.5</v>
      </c>
      <c r="Y50" s="46"/>
      <c r="Z50" s="46"/>
      <c r="AD50" s="46"/>
    </row>
    <row r="51" spans="1:30">
      <c r="A51">
        <v>1324</v>
      </c>
      <c r="B51" t="s">
        <v>587</v>
      </c>
      <c r="C51">
        <v>11.4</v>
      </c>
      <c r="Y51" s="46"/>
      <c r="Z51" s="46"/>
      <c r="AD51" s="46"/>
    </row>
    <row r="52" spans="1:30">
      <c r="A52">
        <v>1325</v>
      </c>
      <c r="B52" t="s">
        <v>588</v>
      </c>
      <c r="C52">
        <v>20.9</v>
      </c>
      <c r="Y52" s="46"/>
      <c r="Z52" s="46"/>
      <c r="AD52" s="46"/>
    </row>
    <row r="53" spans="1:30">
      <c r="A53">
        <v>1326</v>
      </c>
      <c r="B53" t="s">
        <v>589</v>
      </c>
      <c r="C53">
        <v>70.3</v>
      </c>
      <c r="Y53" s="46"/>
      <c r="Z53" s="46"/>
      <c r="AD53" s="46"/>
    </row>
    <row r="54" spans="1:30">
      <c r="A54">
        <v>1337</v>
      </c>
      <c r="B54" t="s">
        <v>590</v>
      </c>
      <c r="C54">
        <v>18.5</v>
      </c>
      <c r="Y54" s="46"/>
      <c r="Z54" s="46"/>
      <c r="AD54" s="46"/>
    </row>
    <row r="55" spans="1:30">
      <c r="A55">
        <v>1338</v>
      </c>
      <c r="B55" t="s">
        <v>591</v>
      </c>
      <c r="C55">
        <v>119</v>
      </c>
      <c r="Y55" s="46"/>
      <c r="Z55" s="46"/>
      <c r="AD55" s="46"/>
    </row>
    <row r="56" spans="1:30">
      <c r="A56">
        <v>1339</v>
      </c>
      <c r="B56" t="s">
        <v>592</v>
      </c>
      <c r="C56">
        <v>62.9</v>
      </c>
      <c r="Y56" s="46"/>
      <c r="Z56" s="46"/>
      <c r="AD56" s="46"/>
    </row>
    <row r="57" spans="1:30">
      <c r="A57">
        <v>1340</v>
      </c>
      <c r="B57" t="s">
        <v>593</v>
      </c>
      <c r="C57">
        <v>65.5</v>
      </c>
      <c r="Y57" s="46"/>
      <c r="Z57" s="46"/>
      <c r="AA57" s="46"/>
      <c r="AD57" s="46"/>
    </row>
    <row r="58" spans="1:30">
      <c r="A58">
        <v>1402</v>
      </c>
      <c r="B58" t="s">
        <v>594</v>
      </c>
      <c r="C58">
        <v>26.15</v>
      </c>
      <c r="Y58" s="46"/>
      <c r="Z58" s="46"/>
      <c r="AD58" s="46"/>
    </row>
    <row r="59" spans="1:30">
      <c r="A59">
        <v>1409</v>
      </c>
      <c r="B59" t="s">
        <v>595</v>
      </c>
      <c r="C59">
        <v>8.7100000000000009</v>
      </c>
      <c r="Y59" s="46"/>
      <c r="Z59" s="46"/>
      <c r="AD59" s="46"/>
    </row>
    <row r="60" spans="1:30">
      <c r="A60">
        <v>1410</v>
      </c>
      <c r="B60" t="s">
        <v>596</v>
      </c>
      <c r="C60">
        <v>24</v>
      </c>
      <c r="Y60" s="46"/>
      <c r="Z60" s="46"/>
      <c r="AD60" s="46"/>
    </row>
    <row r="61" spans="1:30">
      <c r="A61">
        <v>1413</v>
      </c>
      <c r="B61" t="s">
        <v>597</v>
      </c>
      <c r="C61">
        <v>7.45</v>
      </c>
      <c r="Y61" s="46"/>
      <c r="Z61" s="46"/>
      <c r="AD61" s="46"/>
    </row>
    <row r="62" spans="1:30">
      <c r="A62">
        <v>1414</v>
      </c>
      <c r="B62" t="s">
        <v>598</v>
      </c>
      <c r="C62">
        <v>6.62</v>
      </c>
      <c r="Y62" s="46"/>
      <c r="Z62" s="46"/>
      <c r="AD62" s="46"/>
    </row>
    <row r="63" spans="1:30">
      <c r="A63">
        <v>1416</v>
      </c>
      <c r="B63" t="s">
        <v>599</v>
      </c>
      <c r="C63">
        <v>18.2</v>
      </c>
      <c r="Y63" s="46"/>
      <c r="Z63" s="46"/>
      <c r="AD63" s="46"/>
    </row>
    <row r="64" spans="1:30">
      <c r="A64">
        <v>1417</v>
      </c>
      <c r="B64" t="s">
        <v>600</v>
      </c>
      <c r="C64">
        <v>5.37</v>
      </c>
      <c r="Y64" s="46"/>
      <c r="Z64" s="46"/>
      <c r="AD64" s="46"/>
    </row>
    <row r="65" spans="1:30">
      <c r="A65">
        <v>1418</v>
      </c>
      <c r="B65" t="s">
        <v>601</v>
      </c>
      <c r="C65">
        <v>5.16</v>
      </c>
      <c r="Y65" s="46"/>
      <c r="Z65" s="46"/>
      <c r="AD65" s="46"/>
    </row>
    <row r="66" spans="1:30">
      <c r="A66">
        <v>1419</v>
      </c>
      <c r="B66" t="s">
        <v>602</v>
      </c>
      <c r="C66">
        <v>37.700000000000003</v>
      </c>
      <c r="Y66" s="46"/>
      <c r="Z66" s="46"/>
      <c r="AA66" s="46"/>
      <c r="AD66" s="46"/>
    </row>
    <row r="67" spans="1:30">
      <c r="A67">
        <v>1423</v>
      </c>
      <c r="B67" t="s">
        <v>603</v>
      </c>
      <c r="C67">
        <v>6.95</v>
      </c>
      <c r="Y67" s="46"/>
      <c r="Z67" s="46"/>
      <c r="AA67" s="46"/>
      <c r="AD67" s="46"/>
    </row>
    <row r="68" spans="1:30">
      <c r="A68">
        <v>1432</v>
      </c>
      <c r="B68" t="s">
        <v>604</v>
      </c>
      <c r="C68">
        <v>22.15</v>
      </c>
      <c r="Y68" s="46"/>
      <c r="Z68" s="46"/>
      <c r="AA68" s="46"/>
      <c r="AD68" s="46"/>
    </row>
    <row r="69" spans="1:30">
      <c r="A69">
        <v>1434</v>
      </c>
      <c r="B69" t="s">
        <v>605</v>
      </c>
      <c r="C69">
        <v>29.8</v>
      </c>
      <c r="Y69" s="46"/>
      <c r="Z69" s="46"/>
      <c r="AD69" s="46"/>
    </row>
    <row r="70" spans="1:30">
      <c r="A70">
        <v>1435</v>
      </c>
      <c r="B70" t="s">
        <v>606</v>
      </c>
      <c r="C70">
        <v>4.91</v>
      </c>
      <c r="Y70" s="46"/>
      <c r="Z70" s="46"/>
      <c r="AD70" s="46"/>
    </row>
    <row r="71" spans="1:30">
      <c r="A71">
        <v>1436</v>
      </c>
      <c r="B71" t="s">
        <v>607</v>
      </c>
      <c r="C71">
        <v>40.700000000000003</v>
      </c>
      <c r="Y71" s="46"/>
      <c r="Z71" s="46"/>
      <c r="AD71" s="46"/>
    </row>
    <row r="72" spans="1:30">
      <c r="A72">
        <v>1437</v>
      </c>
      <c r="B72" t="s">
        <v>608</v>
      </c>
      <c r="C72">
        <v>12.15</v>
      </c>
      <c r="Y72" s="46"/>
      <c r="Z72" s="46"/>
      <c r="AD72" s="46"/>
    </row>
    <row r="73" spans="1:30">
      <c r="A73">
        <v>1438</v>
      </c>
      <c r="B73" t="s">
        <v>609</v>
      </c>
      <c r="C73">
        <v>4.5999999999999996</v>
      </c>
      <c r="Y73" s="46"/>
      <c r="Z73" s="46"/>
      <c r="AD73" s="46"/>
    </row>
    <row r="74" spans="1:30">
      <c r="A74">
        <v>1439</v>
      </c>
      <c r="B74" t="s">
        <v>610</v>
      </c>
      <c r="C74">
        <v>13.9</v>
      </c>
      <c r="Y74" s="46"/>
      <c r="Z74" s="46"/>
      <c r="AD74" s="46"/>
    </row>
    <row r="75" spans="1:30">
      <c r="A75">
        <v>1440</v>
      </c>
      <c r="B75" t="s">
        <v>611</v>
      </c>
      <c r="C75">
        <v>14.2</v>
      </c>
      <c r="Y75" s="46"/>
      <c r="Z75" s="46"/>
      <c r="AD75" s="46"/>
    </row>
    <row r="76" spans="1:30">
      <c r="A76">
        <v>1441</v>
      </c>
      <c r="B76" t="s">
        <v>612</v>
      </c>
      <c r="C76">
        <v>6.91</v>
      </c>
      <c r="Y76" s="46"/>
      <c r="Z76" s="46"/>
      <c r="AA76" s="46"/>
      <c r="AD76" s="46"/>
    </row>
    <row r="77" spans="1:30">
      <c r="A77">
        <v>1442</v>
      </c>
      <c r="B77" t="s">
        <v>613</v>
      </c>
      <c r="C77">
        <v>16.899999999999999</v>
      </c>
      <c r="Y77" s="46"/>
      <c r="Z77" s="46"/>
      <c r="AA77" s="46"/>
      <c r="AD77" s="46"/>
    </row>
    <row r="78" spans="1:30">
      <c r="A78">
        <v>1443</v>
      </c>
      <c r="B78" t="s">
        <v>614</v>
      </c>
      <c r="C78">
        <v>5.44</v>
      </c>
      <c r="Y78" s="46"/>
      <c r="Z78" s="46"/>
      <c r="AD78" s="46"/>
    </row>
    <row r="79" spans="1:30">
      <c r="A79">
        <v>1444</v>
      </c>
      <c r="B79" t="s">
        <v>615</v>
      </c>
      <c r="C79">
        <v>9.0500000000000007</v>
      </c>
      <c r="Y79" s="46"/>
      <c r="Z79" s="46"/>
      <c r="AD79" s="46"/>
    </row>
    <row r="80" spans="1:30">
      <c r="A80">
        <v>1445</v>
      </c>
      <c r="B80" t="s">
        <v>616</v>
      </c>
      <c r="C80">
        <v>9.14</v>
      </c>
      <c r="Y80" s="46"/>
      <c r="Z80" s="46"/>
      <c r="AD80" s="46"/>
    </row>
    <row r="81" spans="1:30">
      <c r="A81">
        <v>1446</v>
      </c>
      <c r="B81" t="s">
        <v>617</v>
      </c>
      <c r="C81">
        <v>22.4</v>
      </c>
      <c r="Y81" s="46"/>
      <c r="Z81" s="46"/>
      <c r="AD81" s="46"/>
    </row>
    <row r="82" spans="1:30">
      <c r="A82">
        <v>1447</v>
      </c>
      <c r="B82" t="s">
        <v>618</v>
      </c>
      <c r="C82">
        <v>8.25</v>
      </c>
      <c r="Y82" s="46"/>
      <c r="Z82" s="46"/>
      <c r="AA82" s="46"/>
      <c r="AD82" s="46"/>
    </row>
    <row r="83" spans="1:30">
      <c r="A83">
        <v>1449</v>
      </c>
      <c r="B83" t="s">
        <v>619</v>
      </c>
      <c r="C83">
        <v>5.9</v>
      </c>
      <c r="Y83" s="46"/>
      <c r="Z83" s="46"/>
      <c r="AA83" s="46"/>
      <c r="AD83" s="46"/>
    </row>
    <row r="84" spans="1:30">
      <c r="A84">
        <v>1451</v>
      </c>
      <c r="B84" t="s">
        <v>620</v>
      </c>
      <c r="C84">
        <v>21.4</v>
      </c>
      <c r="Y84" s="46"/>
      <c r="Z84" s="46"/>
      <c r="AD84" s="46"/>
    </row>
    <row r="85" spans="1:30">
      <c r="A85">
        <v>1452</v>
      </c>
      <c r="B85" t="s">
        <v>621</v>
      </c>
      <c r="C85">
        <v>22.9</v>
      </c>
      <c r="Y85" s="46"/>
      <c r="Z85" s="46"/>
      <c r="AA85" s="46"/>
      <c r="AD85" s="46"/>
    </row>
    <row r="86" spans="1:30">
      <c r="A86">
        <v>1453</v>
      </c>
      <c r="B86" t="s">
        <v>622</v>
      </c>
      <c r="C86">
        <v>8.4</v>
      </c>
      <c r="Y86" s="46"/>
      <c r="Z86" s="46"/>
      <c r="AD86" s="46"/>
    </row>
    <row r="87" spans="1:30">
      <c r="A87">
        <v>1454</v>
      </c>
      <c r="B87" t="s">
        <v>623</v>
      </c>
      <c r="C87">
        <v>8.99</v>
      </c>
      <c r="Y87" s="46"/>
      <c r="Z87" s="46"/>
      <c r="AA87" s="46"/>
      <c r="AD87" s="46"/>
    </row>
    <row r="88" spans="1:30">
      <c r="A88">
        <v>1455</v>
      </c>
      <c r="B88" t="s">
        <v>624</v>
      </c>
      <c r="C88">
        <v>8.16</v>
      </c>
      <c r="Y88" s="46"/>
      <c r="Z88" s="46"/>
      <c r="AA88" s="46"/>
      <c r="AD88" s="46"/>
    </row>
    <row r="89" spans="1:30">
      <c r="A89">
        <v>1456</v>
      </c>
      <c r="B89" t="s">
        <v>625</v>
      </c>
      <c r="C89">
        <v>5.0999999999999996</v>
      </c>
      <c r="Y89" s="46"/>
      <c r="Z89" s="46"/>
      <c r="AD89" s="46"/>
    </row>
    <row r="90" spans="1:30">
      <c r="A90">
        <v>1457</v>
      </c>
      <c r="B90" t="s">
        <v>626</v>
      </c>
      <c r="C90">
        <v>11.2</v>
      </c>
      <c r="Y90" s="46"/>
      <c r="Z90" s="46"/>
      <c r="AA90" s="46"/>
      <c r="AD90" s="46"/>
    </row>
    <row r="91" spans="1:30">
      <c r="A91">
        <v>1459</v>
      </c>
      <c r="B91" t="s">
        <v>627</v>
      </c>
      <c r="C91">
        <v>9.6</v>
      </c>
      <c r="Y91" s="46"/>
      <c r="Z91" s="46"/>
      <c r="AD91" s="46"/>
    </row>
    <row r="92" spans="1:30">
      <c r="A92">
        <v>1460</v>
      </c>
      <c r="B92" t="s">
        <v>628</v>
      </c>
      <c r="C92">
        <v>14.95</v>
      </c>
      <c r="Y92" s="46"/>
      <c r="Z92" s="46"/>
      <c r="AD92" s="46"/>
    </row>
    <row r="93" spans="1:30">
      <c r="A93">
        <v>1463</v>
      </c>
      <c r="B93" t="s">
        <v>629</v>
      </c>
      <c r="C93">
        <v>16.2</v>
      </c>
      <c r="Y93" s="46"/>
      <c r="Z93" s="46"/>
      <c r="AD93" s="46"/>
    </row>
    <row r="94" spans="1:30">
      <c r="A94">
        <v>1464</v>
      </c>
      <c r="B94" t="s">
        <v>630</v>
      </c>
      <c r="C94">
        <v>33.049999999999997</v>
      </c>
      <c r="Y94" s="46"/>
      <c r="Z94" s="46"/>
      <c r="AA94" s="46"/>
      <c r="AD94" s="46"/>
    </row>
    <row r="95" spans="1:30">
      <c r="A95">
        <v>1465</v>
      </c>
      <c r="B95" t="s">
        <v>631</v>
      </c>
      <c r="C95">
        <v>14.8</v>
      </c>
      <c r="Y95" s="46"/>
      <c r="Z95" s="46"/>
      <c r="AD95" s="46"/>
    </row>
    <row r="96" spans="1:30">
      <c r="A96">
        <v>1466</v>
      </c>
      <c r="B96" t="s">
        <v>632</v>
      </c>
      <c r="C96">
        <v>17.5</v>
      </c>
      <c r="Y96" s="46"/>
      <c r="Z96" s="46"/>
      <c r="AD96" s="46"/>
    </row>
    <row r="97" spans="1:30">
      <c r="A97">
        <v>1467</v>
      </c>
      <c r="B97" t="s">
        <v>633</v>
      </c>
      <c r="C97">
        <v>14.95</v>
      </c>
      <c r="Y97" s="46"/>
      <c r="Z97" s="46"/>
      <c r="AD97" s="46"/>
    </row>
    <row r="98" spans="1:30">
      <c r="A98">
        <v>1468</v>
      </c>
      <c r="B98" t="s">
        <v>634</v>
      </c>
      <c r="C98">
        <v>9.73</v>
      </c>
      <c r="Y98" s="46"/>
      <c r="Z98" s="46"/>
      <c r="AD98" s="46"/>
    </row>
    <row r="99" spans="1:30">
      <c r="A99">
        <v>1469</v>
      </c>
      <c r="B99" t="s">
        <v>635</v>
      </c>
      <c r="C99">
        <v>12.7</v>
      </c>
      <c r="Y99" s="46"/>
      <c r="Z99" s="46"/>
      <c r="AD99" s="46"/>
    </row>
    <row r="100" spans="1:30">
      <c r="A100">
        <v>1470</v>
      </c>
      <c r="B100" t="s">
        <v>636</v>
      </c>
      <c r="C100">
        <v>18.3</v>
      </c>
      <c r="Y100" s="46"/>
      <c r="Z100" s="46"/>
      <c r="AA100" s="46"/>
      <c r="AD100" s="46"/>
    </row>
    <row r="101" spans="1:30">
      <c r="A101">
        <v>1471</v>
      </c>
      <c r="B101" t="s">
        <v>637</v>
      </c>
      <c r="C101">
        <v>4.8600000000000003</v>
      </c>
      <c r="Y101" s="46"/>
      <c r="Z101" s="46"/>
      <c r="AD101" s="46"/>
    </row>
    <row r="102" spans="1:30">
      <c r="A102">
        <v>1472</v>
      </c>
      <c r="B102" t="s">
        <v>638</v>
      </c>
      <c r="C102">
        <v>13.75</v>
      </c>
      <c r="Y102" s="46"/>
      <c r="Z102" s="46"/>
      <c r="AA102" s="46"/>
      <c r="AD102" s="46"/>
    </row>
    <row r="103" spans="1:30">
      <c r="A103">
        <v>1473</v>
      </c>
      <c r="B103" t="s">
        <v>639</v>
      </c>
      <c r="C103">
        <v>29.5</v>
      </c>
      <c r="Y103" s="46"/>
      <c r="Z103" s="46"/>
      <c r="AA103" s="46"/>
      <c r="AD103" s="46"/>
    </row>
    <row r="104" spans="1:30">
      <c r="A104">
        <v>1474</v>
      </c>
      <c r="B104" t="s">
        <v>640</v>
      </c>
      <c r="C104">
        <v>9.01</v>
      </c>
      <c r="Y104" s="46"/>
      <c r="Z104" s="46"/>
      <c r="AA104" s="46"/>
      <c r="AD104" s="46"/>
    </row>
    <row r="105" spans="1:30">
      <c r="A105">
        <v>1475</v>
      </c>
      <c r="B105" t="s">
        <v>641</v>
      </c>
      <c r="C105">
        <v>9.1999999999999993</v>
      </c>
      <c r="Y105" s="46"/>
      <c r="Z105" s="46"/>
      <c r="AA105" s="46"/>
      <c r="AD105" s="46"/>
    </row>
    <row r="106" spans="1:30">
      <c r="A106">
        <v>1476</v>
      </c>
      <c r="B106" t="s">
        <v>642</v>
      </c>
      <c r="C106">
        <v>435</v>
      </c>
      <c r="Y106" s="46"/>
      <c r="Z106" s="46"/>
      <c r="AD106" s="46"/>
    </row>
    <row r="107" spans="1:30">
      <c r="A107">
        <v>1477</v>
      </c>
      <c r="B107" t="s">
        <v>643</v>
      </c>
      <c r="C107">
        <v>232</v>
      </c>
      <c r="Y107" s="46"/>
      <c r="Z107" s="46"/>
      <c r="AD107" s="46"/>
    </row>
    <row r="108" spans="1:30">
      <c r="A108">
        <v>1503</v>
      </c>
      <c r="B108" t="s">
        <v>644</v>
      </c>
      <c r="C108">
        <v>39.5</v>
      </c>
      <c r="Y108" s="46"/>
      <c r="Z108" s="46"/>
      <c r="AA108" s="46"/>
      <c r="AD108" s="46"/>
    </row>
    <row r="109" spans="1:30">
      <c r="A109">
        <v>1504</v>
      </c>
      <c r="B109" t="s">
        <v>645</v>
      </c>
      <c r="C109">
        <v>26.35</v>
      </c>
      <c r="Y109" s="46"/>
      <c r="Z109" s="46"/>
      <c r="AA109" s="46"/>
      <c r="AD109" s="46"/>
    </row>
    <row r="110" spans="1:30">
      <c r="A110">
        <v>1506</v>
      </c>
      <c r="B110" t="s">
        <v>646</v>
      </c>
      <c r="C110">
        <v>14.85</v>
      </c>
      <c r="Y110" s="46"/>
      <c r="Z110" s="46"/>
      <c r="AD110" s="46"/>
    </row>
    <row r="111" spans="1:30">
      <c r="A111">
        <v>1507</v>
      </c>
      <c r="B111" t="s">
        <v>647</v>
      </c>
      <c r="C111">
        <v>46.4</v>
      </c>
      <c r="Y111" s="46"/>
      <c r="Z111" s="46"/>
      <c r="AD111" s="46"/>
    </row>
    <row r="112" spans="1:30">
      <c r="A112">
        <v>1512</v>
      </c>
      <c r="B112" t="s">
        <v>648</v>
      </c>
      <c r="C112">
        <v>5.59</v>
      </c>
      <c r="Y112" s="46"/>
      <c r="Z112" s="46"/>
      <c r="AA112" s="46"/>
      <c r="AD112" s="46"/>
    </row>
    <row r="113" spans="1:30">
      <c r="A113">
        <v>1513</v>
      </c>
      <c r="B113" t="s">
        <v>649</v>
      </c>
      <c r="C113">
        <v>16.75</v>
      </c>
      <c r="Y113" s="46"/>
      <c r="Z113" s="46"/>
      <c r="AA113" s="46"/>
      <c r="AD113" s="46"/>
    </row>
    <row r="114" spans="1:30">
      <c r="A114">
        <v>1514</v>
      </c>
      <c r="B114" t="s">
        <v>650</v>
      </c>
      <c r="C114">
        <v>8.27</v>
      </c>
      <c r="Y114" s="46"/>
      <c r="Z114" s="46"/>
      <c r="AA114" s="46"/>
      <c r="AD114" s="46"/>
    </row>
    <row r="115" spans="1:30">
      <c r="A115">
        <v>1515</v>
      </c>
      <c r="B115" t="s">
        <v>651</v>
      </c>
      <c r="C115">
        <v>10.4</v>
      </c>
      <c r="Y115" s="46"/>
      <c r="Z115" s="46"/>
      <c r="AA115" s="46"/>
      <c r="AD115" s="46"/>
    </row>
    <row r="116" spans="1:30">
      <c r="A116">
        <v>1516</v>
      </c>
      <c r="B116" t="s">
        <v>652</v>
      </c>
      <c r="C116">
        <v>21</v>
      </c>
      <c r="Y116" s="46"/>
      <c r="Z116" s="46"/>
      <c r="AD116" s="46"/>
    </row>
    <row r="117" spans="1:30">
      <c r="A117">
        <v>1517</v>
      </c>
      <c r="B117" t="s">
        <v>653</v>
      </c>
      <c r="C117">
        <v>11.45</v>
      </c>
      <c r="Y117" s="46"/>
      <c r="Z117" s="46"/>
      <c r="AA117" s="46"/>
      <c r="AD117" s="46"/>
    </row>
    <row r="118" spans="1:30">
      <c r="A118">
        <v>1519</v>
      </c>
      <c r="B118" t="s">
        <v>654</v>
      </c>
      <c r="C118">
        <v>15.7</v>
      </c>
      <c r="Y118" s="46"/>
      <c r="Z118" s="46"/>
      <c r="AD118" s="46"/>
    </row>
    <row r="119" spans="1:30">
      <c r="A119">
        <v>1521</v>
      </c>
      <c r="B119" t="s">
        <v>655</v>
      </c>
      <c r="C119">
        <v>86.5</v>
      </c>
      <c r="Y119" s="46"/>
      <c r="Z119" s="46"/>
      <c r="AD119" s="46"/>
    </row>
    <row r="120" spans="1:30">
      <c r="A120">
        <v>1522</v>
      </c>
      <c r="B120" t="s">
        <v>656</v>
      </c>
      <c r="C120">
        <v>22.95</v>
      </c>
      <c r="Y120" s="46"/>
      <c r="Z120" s="46"/>
      <c r="AD120" s="46"/>
    </row>
    <row r="121" spans="1:30">
      <c r="A121">
        <v>1524</v>
      </c>
      <c r="B121" t="s">
        <v>657</v>
      </c>
      <c r="C121">
        <v>6.81</v>
      </c>
      <c r="Y121" s="46"/>
      <c r="Z121" s="46"/>
      <c r="AD121" s="46"/>
    </row>
    <row r="122" spans="1:30">
      <c r="A122">
        <v>1525</v>
      </c>
      <c r="B122" t="s">
        <v>658</v>
      </c>
      <c r="C122">
        <v>80.5</v>
      </c>
      <c r="Y122" s="46"/>
      <c r="Z122" s="46"/>
      <c r="AD122" s="46"/>
    </row>
    <row r="123" spans="1:30">
      <c r="A123">
        <v>1526</v>
      </c>
      <c r="B123" t="s">
        <v>659</v>
      </c>
      <c r="C123">
        <v>14.35</v>
      </c>
      <c r="Y123" s="46"/>
      <c r="Z123" s="46"/>
      <c r="AA123" s="46"/>
      <c r="AD123" s="46"/>
    </row>
    <row r="124" spans="1:30">
      <c r="A124">
        <v>1527</v>
      </c>
      <c r="B124" t="s">
        <v>660</v>
      </c>
      <c r="C124">
        <v>62.8</v>
      </c>
      <c r="Y124" s="46"/>
      <c r="Z124" s="46"/>
      <c r="AD124" s="46"/>
    </row>
    <row r="125" spans="1:30">
      <c r="A125">
        <v>1528</v>
      </c>
      <c r="B125" t="s">
        <v>661</v>
      </c>
      <c r="C125">
        <v>9.02</v>
      </c>
      <c r="Y125" s="46"/>
      <c r="Z125" s="46"/>
      <c r="AA125" s="46"/>
      <c r="AD125" s="46"/>
    </row>
    <row r="126" spans="1:30">
      <c r="A126">
        <v>1529</v>
      </c>
      <c r="B126" t="s">
        <v>662</v>
      </c>
      <c r="C126">
        <v>4.3</v>
      </c>
      <c r="Y126" s="46"/>
      <c r="Z126" s="46"/>
      <c r="AA126" s="46"/>
      <c r="AD126" s="46"/>
    </row>
    <row r="127" spans="1:30">
      <c r="A127">
        <v>1530</v>
      </c>
      <c r="B127" t="s">
        <v>663</v>
      </c>
      <c r="C127">
        <v>30.6</v>
      </c>
      <c r="Y127" s="46"/>
      <c r="Z127" s="46"/>
      <c r="AD127" s="46"/>
    </row>
    <row r="128" spans="1:30">
      <c r="A128">
        <v>1531</v>
      </c>
      <c r="B128" t="s">
        <v>664</v>
      </c>
      <c r="C128">
        <v>17.2</v>
      </c>
      <c r="Y128" s="46"/>
      <c r="Z128" s="46"/>
      <c r="AD128" s="46"/>
    </row>
    <row r="129" spans="1:30">
      <c r="A129">
        <v>1532</v>
      </c>
      <c r="B129" t="s">
        <v>665</v>
      </c>
      <c r="C129">
        <v>26.5</v>
      </c>
      <c r="Y129" s="46"/>
      <c r="Z129" s="46"/>
      <c r="AA129" s="46"/>
      <c r="AD129" s="46"/>
    </row>
    <row r="130" spans="1:30">
      <c r="A130">
        <v>1533</v>
      </c>
      <c r="B130" t="s">
        <v>666</v>
      </c>
      <c r="C130">
        <v>39.35</v>
      </c>
      <c r="Y130" s="46"/>
      <c r="Z130" s="46"/>
      <c r="AD130" s="46"/>
    </row>
    <row r="131" spans="1:30">
      <c r="A131">
        <v>1535</v>
      </c>
      <c r="B131" t="s">
        <v>667</v>
      </c>
      <c r="C131">
        <v>58.4</v>
      </c>
      <c r="Y131" s="46"/>
      <c r="Z131" s="46"/>
      <c r="AD131" s="46"/>
    </row>
    <row r="132" spans="1:30">
      <c r="A132">
        <v>1536</v>
      </c>
      <c r="B132" t="s">
        <v>668</v>
      </c>
      <c r="C132">
        <v>121.5</v>
      </c>
      <c r="Y132" s="46"/>
      <c r="Z132" s="46"/>
      <c r="AD132" s="46"/>
    </row>
    <row r="133" spans="1:30">
      <c r="A133">
        <v>1537</v>
      </c>
      <c r="B133" t="s">
        <v>669</v>
      </c>
      <c r="C133">
        <v>128.5</v>
      </c>
      <c r="Y133" s="46"/>
      <c r="Z133" s="46"/>
      <c r="AD133" s="46"/>
    </row>
    <row r="134" spans="1:30">
      <c r="A134">
        <v>1538</v>
      </c>
      <c r="B134" t="s">
        <v>670</v>
      </c>
      <c r="C134">
        <v>5</v>
      </c>
      <c r="Y134" s="46"/>
      <c r="Z134" s="46"/>
      <c r="AD134" s="46"/>
    </row>
    <row r="135" spans="1:30">
      <c r="A135">
        <v>1539</v>
      </c>
      <c r="B135" t="s">
        <v>671</v>
      </c>
      <c r="C135">
        <v>29.7</v>
      </c>
      <c r="Y135" s="46"/>
      <c r="Z135" s="46"/>
      <c r="AD135" s="46"/>
    </row>
    <row r="136" spans="1:30">
      <c r="A136">
        <v>1540</v>
      </c>
      <c r="B136" t="s">
        <v>672</v>
      </c>
      <c r="C136">
        <v>16</v>
      </c>
      <c r="Y136" s="46"/>
      <c r="Z136" s="46"/>
      <c r="AA136" s="46"/>
      <c r="AD136" s="46"/>
    </row>
    <row r="137" spans="1:30">
      <c r="A137">
        <v>1541</v>
      </c>
      <c r="B137" t="s">
        <v>673</v>
      </c>
      <c r="C137">
        <v>42.4</v>
      </c>
      <c r="Y137" s="46"/>
      <c r="Z137" s="46"/>
      <c r="AA137" s="46"/>
      <c r="AD137" s="46"/>
    </row>
    <row r="138" spans="1:30">
      <c r="A138">
        <v>1558</v>
      </c>
      <c r="B138" t="s">
        <v>674</v>
      </c>
      <c r="C138">
        <v>137.5</v>
      </c>
      <c r="Y138" s="46"/>
      <c r="Z138" s="46"/>
      <c r="AD138" s="46"/>
    </row>
    <row r="139" spans="1:30">
      <c r="A139">
        <v>1560</v>
      </c>
      <c r="B139" t="s">
        <v>675</v>
      </c>
      <c r="C139">
        <v>51</v>
      </c>
      <c r="Y139" s="46"/>
      <c r="Z139" s="46"/>
      <c r="AD139" s="46"/>
    </row>
    <row r="140" spans="1:30">
      <c r="A140">
        <v>1568</v>
      </c>
      <c r="B140" t="s">
        <v>676</v>
      </c>
      <c r="C140">
        <v>20.25</v>
      </c>
      <c r="Y140" s="46"/>
      <c r="Z140" s="46"/>
      <c r="AD140" s="46"/>
    </row>
    <row r="141" spans="1:30">
      <c r="A141">
        <v>1582</v>
      </c>
      <c r="B141" t="s">
        <v>677</v>
      </c>
      <c r="C141">
        <v>48.6</v>
      </c>
      <c r="Y141" s="46"/>
      <c r="Z141" s="46"/>
      <c r="AD141" s="46"/>
    </row>
    <row r="142" spans="1:30">
      <c r="A142">
        <v>1583</v>
      </c>
      <c r="B142" t="s">
        <v>678</v>
      </c>
      <c r="C142">
        <v>65.2</v>
      </c>
      <c r="Y142" s="46"/>
      <c r="Z142" s="46"/>
      <c r="AD142" s="46"/>
    </row>
    <row r="143" spans="1:30">
      <c r="A143">
        <v>1589</v>
      </c>
      <c r="B143" t="s">
        <v>679</v>
      </c>
      <c r="C143">
        <v>178.5</v>
      </c>
      <c r="Y143" s="46"/>
      <c r="Z143" s="46"/>
      <c r="AD143" s="46"/>
    </row>
    <row r="144" spans="1:30">
      <c r="A144">
        <v>1590</v>
      </c>
      <c r="B144" t="s">
        <v>680</v>
      </c>
      <c r="C144">
        <v>155</v>
      </c>
      <c r="Y144" s="46"/>
      <c r="Z144" s="46"/>
      <c r="AD144" s="46"/>
    </row>
    <row r="145" spans="1:30">
      <c r="A145">
        <v>1592</v>
      </c>
      <c r="B145" t="s">
        <v>681</v>
      </c>
      <c r="C145">
        <v>27.9</v>
      </c>
      <c r="Y145" s="46"/>
      <c r="Z145" s="46"/>
      <c r="AD145" s="46"/>
    </row>
    <row r="146" spans="1:30">
      <c r="A146">
        <v>1603</v>
      </c>
      <c r="B146" t="s">
        <v>682</v>
      </c>
      <c r="C146">
        <v>12.25</v>
      </c>
      <c r="Y146" s="46"/>
      <c r="Z146" s="46"/>
      <c r="AA146" s="46"/>
      <c r="AD146" s="46"/>
    </row>
    <row r="147" spans="1:30">
      <c r="A147">
        <v>1604</v>
      </c>
      <c r="B147" t="s">
        <v>683</v>
      </c>
      <c r="C147">
        <v>12</v>
      </c>
      <c r="Y147" s="46"/>
      <c r="Z147" s="46"/>
      <c r="AA147" s="46"/>
      <c r="AD147" s="46"/>
    </row>
    <row r="148" spans="1:30">
      <c r="A148">
        <v>1605</v>
      </c>
      <c r="B148" t="s">
        <v>684</v>
      </c>
      <c r="C148">
        <v>7.44</v>
      </c>
      <c r="Y148" s="46"/>
      <c r="Z148" s="46"/>
      <c r="AD148" s="46"/>
    </row>
    <row r="149" spans="1:30">
      <c r="A149">
        <v>1608</v>
      </c>
      <c r="B149" t="s">
        <v>685</v>
      </c>
      <c r="C149">
        <v>6.88</v>
      </c>
      <c r="Y149" s="46"/>
      <c r="Z149" s="46"/>
      <c r="AD149" s="46"/>
    </row>
    <row r="150" spans="1:30">
      <c r="A150">
        <v>1609</v>
      </c>
      <c r="B150" t="s">
        <v>686</v>
      </c>
      <c r="C150">
        <v>4.62</v>
      </c>
      <c r="Y150" s="46"/>
      <c r="Z150" s="46"/>
      <c r="AD150" s="46"/>
    </row>
    <row r="151" spans="1:30">
      <c r="A151">
        <v>1611</v>
      </c>
      <c r="B151" t="s">
        <v>687</v>
      </c>
      <c r="C151">
        <v>7.83</v>
      </c>
      <c r="Y151" s="46"/>
      <c r="Z151" s="46"/>
      <c r="AA151" s="46"/>
      <c r="AD151" s="46"/>
    </row>
    <row r="152" spans="1:30">
      <c r="A152">
        <v>1612</v>
      </c>
      <c r="B152" t="s">
        <v>688</v>
      </c>
      <c r="C152">
        <v>9.08</v>
      </c>
      <c r="Y152" s="46"/>
      <c r="Z152" s="46"/>
      <c r="AA152" s="46"/>
      <c r="AD152" s="46"/>
    </row>
    <row r="153" spans="1:30">
      <c r="A153">
        <v>1613</v>
      </c>
      <c r="B153" t="s">
        <v>689</v>
      </c>
      <c r="C153">
        <v>3.04</v>
      </c>
      <c r="Y153" s="46"/>
      <c r="Z153" s="46"/>
      <c r="AD153" s="46"/>
    </row>
    <row r="154" spans="1:30">
      <c r="A154">
        <v>1614</v>
      </c>
      <c r="B154" t="s">
        <v>690</v>
      </c>
      <c r="C154">
        <v>24.8</v>
      </c>
      <c r="Y154" s="46"/>
      <c r="Z154" s="46"/>
      <c r="AD154" s="46"/>
    </row>
    <row r="155" spans="1:30">
      <c r="A155">
        <v>1615</v>
      </c>
      <c r="B155" t="s">
        <v>691</v>
      </c>
      <c r="C155">
        <v>9.6999999999999993</v>
      </c>
      <c r="Y155" s="46"/>
      <c r="Z155" s="46"/>
      <c r="AD155" s="46"/>
    </row>
    <row r="156" spans="1:30">
      <c r="A156">
        <v>1616</v>
      </c>
      <c r="B156" t="s">
        <v>692</v>
      </c>
      <c r="C156">
        <v>4.46</v>
      </c>
      <c r="Y156" s="46"/>
      <c r="Z156" s="46"/>
      <c r="AD156" s="46"/>
    </row>
    <row r="157" spans="1:30">
      <c r="A157">
        <v>1617</v>
      </c>
      <c r="B157" t="s">
        <v>693</v>
      </c>
      <c r="C157">
        <v>6.89</v>
      </c>
      <c r="Y157" s="46"/>
      <c r="Z157" s="46"/>
      <c r="AD157" s="46"/>
    </row>
    <row r="158" spans="1:30">
      <c r="A158">
        <v>1618</v>
      </c>
      <c r="B158" t="s">
        <v>694</v>
      </c>
      <c r="C158">
        <v>7.2</v>
      </c>
      <c r="Y158" s="46"/>
      <c r="Z158" s="46"/>
      <c r="AA158" s="46"/>
      <c r="AD158" s="46"/>
    </row>
    <row r="159" spans="1:30">
      <c r="A159">
        <v>1626</v>
      </c>
      <c r="B159" t="s">
        <v>695</v>
      </c>
      <c r="C159">
        <v>22.85</v>
      </c>
      <c r="Y159" s="46"/>
      <c r="Z159" s="46"/>
      <c r="AD159" s="46"/>
    </row>
    <row r="160" spans="1:30">
      <c r="A160">
        <v>1701</v>
      </c>
      <c r="B160" t="s">
        <v>696</v>
      </c>
      <c r="C160">
        <v>19.2</v>
      </c>
      <c r="Y160" s="46"/>
      <c r="Z160" s="46"/>
      <c r="AD160" s="46"/>
    </row>
    <row r="161" spans="1:30">
      <c r="A161">
        <v>1702</v>
      </c>
      <c r="B161" t="s">
        <v>697</v>
      </c>
      <c r="C161">
        <v>68.2</v>
      </c>
      <c r="Y161" s="46"/>
      <c r="Z161" s="46"/>
      <c r="AA161" s="46"/>
      <c r="AD161" s="46"/>
    </row>
    <row r="162" spans="1:30">
      <c r="A162">
        <v>1704</v>
      </c>
      <c r="B162" t="s">
        <v>698</v>
      </c>
      <c r="C162">
        <v>32.9</v>
      </c>
      <c r="Y162" s="46"/>
      <c r="Z162" s="46"/>
      <c r="AA162" s="46"/>
      <c r="AD162" s="46"/>
    </row>
    <row r="163" spans="1:30">
      <c r="A163">
        <v>1707</v>
      </c>
      <c r="B163" t="s">
        <v>699</v>
      </c>
      <c r="C163">
        <v>179.5</v>
      </c>
      <c r="Y163" s="46"/>
      <c r="Z163" s="46"/>
      <c r="AD163" s="46"/>
    </row>
    <row r="164" spans="1:30">
      <c r="A164">
        <v>1708</v>
      </c>
      <c r="B164" t="s">
        <v>700</v>
      </c>
      <c r="C164">
        <v>32.25</v>
      </c>
      <c r="Y164" s="46"/>
      <c r="Z164" s="46"/>
      <c r="AD164" s="46"/>
    </row>
    <row r="165" spans="1:30">
      <c r="A165">
        <v>1709</v>
      </c>
      <c r="B165" t="s">
        <v>701</v>
      </c>
      <c r="C165">
        <v>14.9</v>
      </c>
      <c r="Y165" s="46"/>
      <c r="Z165" s="46"/>
      <c r="AA165" s="46"/>
      <c r="AD165" s="46"/>
    </row>
    <row r="166" spans="1:30">
      <c r="A166">
        <v>1710</v>
      </c>
      <c r="B166" t="s">
        <v>702</v>
      </c>
      <c r="C166">
        <v>20.6</v>
      </c>
      <c r="Y166" s="46"/>
      <c r="Z166" s="46"/>
      <c r="AA166" s="46"/>
      <c r="AD166" s="46"/>
    </row>
    <row r="167" spans="1:30">
      <c r="A167">
        <v>1711</v>
      </c>
      <c r="B167" t="s">
        <v>703</v>
      </c>
      <c r="C167">
        <v>20</v>
      </c>
      <c r="Y167" s="46"/>
      <c r="Z167" s="46"/>
      <c r="AA167" s="46"/>
      <c r="AD167" s="46"/>
    </row>
    <row r="168" spans="1:30">
      <c r="A168">
        <v>1712</v>
      </c>
      <c r="B168" t="s">
        <v>704</v>
      </c>
      <c r="C168">
        <v>13.35</v>
      </c>
      <c r="Y168" s="46"/>
      <c r="Z168" s="46"/>
      <c r="AA168" s="46"/>
      <c r="AD168" s="46"/>
    </row>
    <row r="169" spans="1:30">
      <c r="A169">
        <v>1713</v>
      </c>
      <c r="B169" t="s">
        <v>705</v>
      </c>
      <c r="C169">
        <v>15.3</v>
      </c>
      <c r="Y169" s="46"/>
      <c r="Z169" s="46"/>
      <c r="AA169" s="46"/>
      <c r="AD169" s="46"/>
    </row>
    <row r="170" spans="1:30">
      <c r="A170">
        <v>1714</v>
      </c>
      <c r="B170" t="s">
        <v>706</v>
      </c>
      <c r="C170">
        <v>7.28</v>
      </c>
      <c r="Y170" s="46"/>
      <c r="Z170" s="46"/>
      <c r="AA170" s="46"/>
      <c r="AD170" s="46"/>
    </row>
    <row r="171" spans="1:30">
      <c r="A171">
        <v>1715</v>
      </c>
      <c r="B171" t="s">
        <v>707</v>
      </c>
      <c r="C171">
        <v>11.3</v>
      </c>
      <c r="Y171" s="46"/>
      <c r="Z171" s="46"/>
      <c r="AA171" s="46"/>
      <c r="AD171" s="46"/>
    </row>
    <row r="172" spans="1:30">
      <c r="A172">
        <v>1717</v>
      </c>
      <c r="B172" t="s">
        <v>708</v>
      </c>
      <c r="C172">
        <v>31.9</v>
      </c>
      <c r="Y172" s="46"/>
      <c r="Z172" s="46"/>
      <c r="AD172" s="46"/>
    </row>
    <row r="173" spans="1:30">
      <c r="A173">
        <v>1718</v>
      </c>
      <c r="B173" t="s">
        <v>709</v>
      </c>
      <c r="C173">
        <v>8.68</v>
      </c>
      <c r="Y173" s="46"/>
      <c r="Z173" s="46"/>
      <c r="AD173" s="46"/>
    </row>
    <row r="174" spans="1:30">
      <c r="A174">
        <v>1720</v>
      </c>
      <c r="B174" t="s">
        <v>710</v>
      </c>
      <c r="C174">
        <v>37.450000000000003</v>
      </c>
      <c r="Y174" s="46"/>
      <c r="Z174" s="46"/>
      <c r="AA174" s="46"/>
      <c r="AD174" s="46"/>
    </row>
    <row r="175" spans="1:30">
      <c r="A175">
        <v>1721</v>
      </c>
      <c r="B175" t="s">
        <v>711</v>
      </c>
      <c r="C175">
        <v>12.2</v>
      </c>
      <c r="Y175" s="46"/>
      <c r="Z175" s="46"/>
      <c r="AA175" s="46"/>
      <c r="AD175" s="46"/>
    </row>
    <row r="176" spans="1:30">
      <c r="A176">
        <v>1722</v>
      </c>
      <c r="B176" t="s">
        <v>712</v>
      </c>
      <c r="C176">
        <v>42.7</v>
      </c>
      <c r="Y176" s="46"/>
      <c r="Z176" s="46"/>
      <c r="AD176" s="46"/>
    </row>
    <row r="177" spans="1:30">
      <c r="A177">
        <v>1723</v>
      </c>
      <c r="B177" t="s">
        <v>713</v>
      </c>
      <c r="C177">
        <v>105</v>
      </c>
      <c r="Y177" s="46"/>
      <c r="Z177" s="46"/>
      <c r="AD177" s="46"/>
    </row>
    <row r="178" spans="1:30">
      <c r="A178">
        <v>1724</v>
      </c>
      <c r="B178" t="s">
        <v>714</v>
      </c>
      <c r="C178">
        <v>15.3</v>
      </c>
      <c r="Y178" s="46"/>
      <c r="Z178" s="46"/>
      <c r="AD178" s="46"/>
    </row>
    <row r="179" spans="1:30">
      <c r="A179">
        <v>1725</v>
      </c>
      <c r="B179" t="s">
        <v>715</v>
      </c>
      <c r="C179">
        <v>14.1</v>
      </c>
      <c r="Y179" s="46"/>
      <c r="Z179" s="46"/>
      <c r="AD179" s="46"/>
    </row>
    <row r="180" spans="1:30">
      <c r="A180">
        <v>1726</v>
      </c>
      <c r="B180" t="s">
        <v>716</v>
      </c>
      <c r="C180">
        <v>70</v>
      </c>
      <c r="Y180" s="46"/>
      <c r="Z180" s="46"/>
      <c r="AD180" s="46"/>
    </row>
    <row r="181" spans="1:30">
      <c r="A181">
        <v>1727</v>
      </c>
      <c r="B181" t="s">
        <v>717</v>
      </c>
      <c r="C181">
        <v>15.05</v>
      </c>
      <c r="Y181" s="46"/>
      <c r="Z181" s="46"/>
      <c r="AD181" s="46"/>
    </row>
    <row r="182" spans="1:30">
      <c r="A182">
        <v>1729</v>
      </c>
      <c r="B182" t="s">
        <v>718</v>
      </c>
      <c r="C182">
        <v>70.5</v>
      </c>
      <c r="Y182" s="46"/>
      <c r="Z182" s="46"/>
      <c r="AD182" s="46"/>
    </row>
    <row r="183" spans="1:30">
      <c r="A183">
        <v>1730</v>
      </c>
      <c r="B183" t="s">
        <v>719</v>
      </c>
      <c r="C183">
        <v>36</v>
      </c>
      <c r="Y183" s="46"/>
      <c r="Z183" s="46"/>
      <c r="AD183" s="46"/>
    </row>
    <row r="184" spans="1:30">
      <c r="A184">
        <v>1731</v>
      </c>
      <c r="B184" t="s">
        <v>720</v>
      </c>
      <c r="C184">
        <v>13.65</v>
      </c>
      <c r="Y184" s="46"/>
      <c r="Z184" s="46"/>
      <c r="AD184" s="46"/>
    </row>
    <row r="185" spans="1:30">
      <c r="A185">
        <v>1732</v>
      </c>
      <c r="B185" t="s">
        <v>721</v>
      </c>
      <c r="C185">
        <v>12.95</v>
      </c>
      <c r="Y185" s="46"/>
      <c r="Z185" s="46"/>
      <c r="AD185" s="46"/>
    </row>
    <row r="186" spans="1:30">
      <c r="A186">
        <v>1733</v>
      </c>
      <c r="B186" t="s">
        <v>722</v>
      </c>
      <c r="C186">
        <v>46.95</v>
      </c>
      <c r="Y186" s="46"/>
      <c r="Z186" s="46"/>
      <c r="AD186" s="46"/>
    </row>
    <row r="187" spans="1:30">
      <c r="A187">
        <v>1734</v>
      </c>
      <c r="B187" t="s">
        <v>723</v>
      </c>
      <c r="C187">
        <v>28.5</v>
      </c>
      <c r="Y187" s="46"/>
      <c r="Z187" s="46"/>
      <c r="AA187" s="46"/>
      <c r="AD187" s="46"/>
    </row>
    <row r="188" spans="1:30">
      <c r="A188">
        <v>1735</v>
      </c>
      <c r="B188" t="s">
        <v>724</v>
      </c>
      <c r="C188">
        <v>11.9</v>
      </c>
      <c r="Y188" s="46"/>
      <c r="Z188" s="46"/>
      <c r="AD188" s="46"/>
    </row>
    <row r="189" spans="1:30">
      <c r="A189">
        <v>1736</v>
      </c>
      <c r="B189" t="s">
        <v>725</v>
      </c>
      <c r="C189">
        <v>51.7</v>
      </c>
      <c r="Y189" s="46"/>
      <c r="Z189" s="46"/>
      <c r="AA189" s="46"/>
      <c r="AD189" s="46"/>
    </row>
    <row r="190" spans="1:30">
      <c r="A190">
        <v>1737</v>
      </c>
      <c r="B190" t="s">
        <v>726</v>
      </c>
      <c r="C190">
        <v>26.95</v>
      </c>
      <c r="Y190" s="46"/>
      <c r="Z190" s="46"/>
      <c r="AA190" s="46"/>
      <c r="AD190" s="46"/>
    </row>
    <row r="191" spans="1:30">
      <c r="A191">
        <v>1762</v>
      </c>
      <c r="B191" t="s">
        <v>727</v>
      </c>
      <c r="C191">
        <v>39.15</v>
      </c>
      <c r="Y191" s="46"/>
      <c r="Z191" s="46"/>
      <c r="AD191" s="46"/>
    </row>
    <row r="192" spans="1:30">
      <c r="A192">
        <v>1773</v>
      </c>
      <c r="B192" t="s">
        <v>728</v>
      </c>
      <c r="C192">
        <v>40.5</v>
      </c>
      <c r="Y192" s="46"/>
      <c r="Z192" s="46"/>
      <c r="AA192" s="46"/>
      <c r="AD192" s="46"/>
    </row>
    <row r="193" spans="1:30">
      <c r="A193">
        <v>1783</v>
      </c>
      <c r="B193" t="s">
        <v>729</v>
      </c>
      <c r="C193">
        <v>22.65</v>
      </c>
      <c r="Y193" s="46"/>
      <c r="Z193" s="46"/>
      <c r="AD193" s="46"/>
    </row>
    <row r="194" spans="1:30">
      <c r="A194">
        <v>1786</v>
      </c>
      <c r="B194" t="s">
        <v>730</v>
      </c>
      <c r="C194">
        <v>62.3</v>
      </c>
      <c r="Y194" s="46"/>
      <c r="Z194" s="46"/>
      <c r="AD194" s="46"/>
    </row>
    <row r="195" spans="1:30">
      <c r="A195">
        <v>1789</v>
      </c>
      <c r="B195" t="s">
        <v>731</v>
      </c>
      <c r="C195">
        <v>52.7</v>
      </c>
      <c r="Y195" s="46"/>
      <c r="Z195" s="46"/>
      <c r="AD195" s="46"/>
    </row>
    <row r="196" spans="1:30">
      <c r="A196">
        <v>1802</v>
      </c>
      <c r="B196" t="s">
        <v>732</v>
      </c>
      <c r="C196">
        <v>12.6</v>
      </c>
      <c r="Y196" s="46"/>
      <c r="Z196" s="46"/>
      <c r="AD196" s="46"/>
    </row>
    <row r="197" spans="1:30">
      <c r="A197">
        <v>1805</v>
      </c>
      <c r="B197" t="s">
        <v>733</v>
      </c>
      <c r="C197">
        <v>6.98</v>
      </c>
      <c r="Y197" s="46"/>
      <c r="Z197" s="46"/>
      <c r="AD197" s="46"/>
    </row>
    <row r="198" spans="1:30">
      <c r="A198">
        <v>1806</v>
      </c>
      <c r="B198" t="s">
        <v>734</v>
      </c>
      <c r="C198">
        <v>6.99</v>
      </c>
      <c r="Y198" s="46"/>
      <c r="Z198" s="46"/>
      <c r="AD198" s="46"/>
    </row>
    <row r="199" spans="1:30">
      <c r="A199">
        <v>1808</v>
      </c>
      <c r="B199" t="s">
        <v>735</v>
      </c>
      <c r="C199">
        <v>25.3</v>
      </c>
      <c r="Y199" s="46"/>
      <c r="Z199" s="46"/>
      <c r="AD199" s="46"/>
    </row>
    <row r="200" spans="1:30">
      <c r="A200">
        <v>1809</v>
      </c>
      <c r="B200" t="s">
        <v>736</v>
      </c>
      <c r="C200">
        <v>10</v>
      </c>
      <c r="Y200" s="46"/>
      <c r="Z200" s="46"/>
      <c r="AD200" s="46"/>
    </row>
    <row r="201" spans="1:30">
      <c r="A201">
        <v>1810</v>
      </c>
      <c r="B201" t="s">
        <v>737</v>
      </c>
      <c r="C201">
        <v>8.25</v>
      </c>
      <c r="Y201" s="46"/>
      <c r="Z201" s="46"/>
      <c r="AD201" s="46"/>
    </row>
    <row r="202" spans="1:30">
      <c r="A202">
        <v>1817</v>
      </c>
      <c r="B202" t="s">
        <v>738</v>
      </c>
      <c r="C202">
        <v>40.950000000000003</v>
      </c>
      <c r="Y202" s="46"/>
      <c r="Z202" s="46"/>
      <c r="AD202" s="46"/>
    </row>
    <row r="203" spans="1:30">
      <c r="A203">
        <v>1902</v>
      </c>
      <c r="B203" t="s">
        <v>739</v>
      </c>
      <c r="C203">
        <v>10.75</v>
      </c>
      <c r="Y203" s="46"/>
      <c r="Z203" s="46"/>
      <c r="AA203" s="46"/>
      <c r="AD203" s="46"/>
    </row>
    <row r="204" spans="1:30">
      <c r="A204">
        <v>1903</v>
      </c>
      <c r="B204" t="s">
        <v>740</v>
      </c>
      <c r="C204">
        <v>30.5</v>
      </c>
      <c r="Y204" s="46"/>
      <c r="Z204" s="46"/>
      <c r="AD204" s="46"/>
    </row>
    <row r="205" spans="1:30">
      <c r="A205">
        <v>1904</v>
      </c>
      <c r="B205" t="s">
        <v>741</v>
      </c>
      <c r="C205">
        <v>11.4</v>
      </c>
      <c r="Y205" s="46"/>
      <c r="Z205" s="46"/>
      <c r="AD205" s="46"/>
    </row>
    <row r="206" spans="1:30">
      <c r="A206">
        <v>1905</v>
      </c>
      <c r="B206" t="s">
        <v>1852</v>
      </c>
      <c r="C206">
        <v>9.81</v>
      </c>
      <c r="Y206" s="46"/>
      <c r="Z206" s="46"/>
      <c r="AA206" s="46"/>
      <c r="AD206" s="46"/>
    </row>
    <row r="207" spans="1:30">
      <c r="A207">
        <v>1906</v>
      </c>
      <c r="B207" t="s">
        <v>742</v>
      </c>
      <c r="C207">
        <v>7.72</v>
      </c>
      <c r="Y207" s="46"/>
      <c r="Z207" s="46"/>
      <c r="AD207" s="46"/>
    </row>
    <row r="208" spans="1:30">
      <c r="A208">
        <v>1907</v>
      </c>
      <c r="B208" t="s">
        <v>743</v>
      </c>
      <c r="C208">
        <v>10.75</v>
      </c>
      <c r="Y208" s="46"/>
      <c r="Z208" s="46"/>
      <c r="AD208" s="46"/>
    </row>
    <row r="209" spans="1:30">
      <c r="A209">
        <v>1909</v>
      </c>
      <c r="B209" t="s">
        <v>744</v>
      </c>
      <c r="C209">
        <v>10.6</v>
      </c>
      <c r="Y209" s="46"/>
      <c r="Z209" s="46"/>
      <c r="AA209" s="46"/>
      <c r="AD209" s="46"/>
    </row>
    <row r="210" spans="1:30">
      <c r="A210">
        <v>2002</v>
      </c>
      <c r="B210" t="s">
        <v>745</v>
      </c>
      <c r="C210">
        <v>18.350000000000001</v>
      </c>
      <c r="Y210" s="46"/>
      <c r="Z210" s="46"/>
      <c r="AD210" s="46"/>
    </row>
    <row r="211" spans="1:30">
      <c r="A211" t="s">
        <v>259</v>
      </c>
      <c r="B211" t="s">
        <v>746</v>
      </c>
      <c r="C211">
        <v>39.35</v>
      </c>
      <c r="Y211" s="46"/>
      <c r="Z211" s="46"/>
      <c r="AD211" s="46"/>
    </row>
    <row r="212" spans="1:30">
      <c r="A212">
        <v>2006</v>
      </c>
      <c r="B212" t="s">
        <v>747</v>
      </c>
      <c r="C212">
        <v>17.2</v>
      </c>
      <c r="Y212" s="46"/>
      <c r="Z212" s="46"/>
      <c r="AD212" s="46"/>
    </row>
    <row r="213" spans="1:30">
      <c r="A213">
        <v>2007</v>
      </c>
      <c r="B213" t="s">
        <v>748</v>
      </c>
      <c r="C213">
        <v>4.71</v>
      </c>
      <c r="Y213" s="46"/>
      <c r="Z213" s="46"/>
      <c r="AD213" s="46"/>
    </row>
    <row r="214" spans="1:30">
      <c r="A214">
        <v>2008</v>
      </c>
      <c r="B214" t="s">
        <v>749</v>
      </c>
      <c r="C214">
        <v>8.85</v>
      </c>
      <c r="Y214" s="46"/>
      <c r="Z214" s="46"/>
      <c r="AA214" s="46"/>
      <c r="AD214" s="46"/>
    </row>
    <row r="215" spans="1:30">
      <c r="A215">
        <v>2009</v>
      </c>
      <c r="B215" t="s">
        <v>750</v>
      </c>
      <c r="C215">
        <v>6.9</v>
      </c>
      <c r="Y215" s="46"/>
      <c r="Z215" s="46"/>
      <c r="AD215" s="46"/>
    </row>
    <row r="216" spans="1:30">
      <c r="A216">
        <v>2010</v>
      </c>
      <c r="B216" t="s">
        <v>751</v>
      </c>
      <c r="C216">
        <v>8.8000000000000007</v>
      </c>
      <c r="Y216" s="46"/>
      <c r="Z216" s="46"/>
      <c r="AD216" s="46"/>
    </row>
    <row r="217" spans="1:30">
      <c r="A217">
        <v>2012</v>
      </c>
      <c r="B217" t="s">
        <v>752</v>
      </c>
      <c r="C217">
        <v>14.25</v>
      </c>
      <c r="Y217" s="46"/>
      <c r="Z217" s="46"/>
      <c r="AD217" s="46"/>
    </row>
    <row r="218" spans="1:30">
      <c r="A218">
        <v>2013</v>
      </c>
      <c r="B218" t="s">
        <v>753</v>
      </c>
      <c r="C218">
        <v>19.399999999999999</v>
      </c>
      <c r="Y218" s="46"/>
      <c r="Z218" s="46"/>
      <c r="AD218" s="46"/>
    </row>
    <row r="219" spans="1:30">
      <c r="A219">
        <v>2014</v>
      </c>
      <c r="B219" t="s">
        <v>754</v>
      </c>
      <c r="C219">
        <v>4.68</v>
      </c>
      <c r="Y219" s="46"/>
      <c r="Z219" s="46"/>
      <c r="AA219" s="46"/>
      <c r="AD219" s="46"/>
    </row>
    <row r="220" spans="1:30">
      <c r="A220">
        <v>2015</v>
      </c>
      <c r="B220" t="s">
        <v>755</v>
      </c>
      <c r="C220">
        <v>38.6</v>
      </c>
      <c r="Y220" s="46"/>
      <c r="Z220" s="46"/>
      <c r="AA220" s="46"/>
      <c r="AD220" s="46"/>
    </row>
    <row r="221" spans="1:30">
      <c r="A221">
        <v>2020</v>
      </c>
      <c r="B221" t="s">
        <v>757</v>
      </c>
      <c r="C221">
        <v>12.1</v>
      </c>
      <c r="Y221" s="46"/>
      <c r="Z221" s="46"/>
      <c r="AD221" s="46"/>
    </row>
    <row r="222" spans="1:30">
      <c r="A222">
        <v>2022</v>
      </c>
      <c r="B222" t="s">
        <v>758</v>
      </c>
      <c r="C222">
        <v>3.9</v>
      </c>
      <c r="Y222" s="46"/>
      <c r="Z222" s="46"/>
      <c r="AA222" s="46"/>
      <c r="AD222" s="46"/>
    </row>
    <row r="223" spans="1:30">
      <c r="A223">
        <v>2023</v>
      </c>
      <c r="B223" t="s">
        <v>759</v>
      </c>
      <c r="C223">
        <v>7.39</v>
      </c>
      <c r="Y223" s="46"/>
      <c r="Z223" s="46"/>
      <c r="AD223" s="46"/>
    </row>
    <row r="224" spans="1:30">
      <c r="A224">
        <v>2024</v>
      </c>
      <c r="B224" t="s">
        <v>760</v>
      </c>
      <c r="C224">
        <v>6.7</v>
      </c>
      <c r="Y224" s="46"/>
      <c r="Z224" s="46"/>
      <c r="AD224" s="46"/>
    </row>
    <row r="225" spans="1:30">
      <c r="A225">
        <v>2025</v>
      </c>
      <c r="B225" t="s">
        <v>761</v>
      </c>
      <c r="C225">
        <v>2.02</v>
      </c>
      <c r="Y225" s="46"/>
      <c r="Z225" s="46"/>
      <c r="AD225" s="46"/>
    </row>
    <row r="226" spans="1:30">
      <c r="A226">
        <v>2027</v>
      </c>
      <c r="B226" t="s">
        <v>762</v>
      </c>
      <c r="C226">
        <v>14.2</v>
      </c>
      <c r="Y226" s="46"/>
      <c r="Z226" s="46"/>
      <c r="AD226" s="46"/>
    </row>
    <row r="227" spans="1:30">
      <c r="A227">
        <v>2028</v>
      </c>
      <c r="B227" t="s">
        <v>763</v>
      </c>
      <c r="C227">
        <v>1.69</v>
      </c>
      <c r="Y227" s="46"/>
      <c r="Z227" s="46"/>
      <c r="AD227" s="46"/>
    </row>
    <row r="228" spans="1:30">
      <c r="A228">
        <v>2029</v>
      </c>
      <c r="B228" t="s">
        <v>764</v>
      </c>
      <c r="C228">
        <v>16.100000000000001</v>
      </c>
      <c r="Y228" s="46"/>
      <c r="Z228" s="46"/>
      <c r="AA228" s="46"/>
      <c r="AD228" s="46"/>
    </row>
    <row r="229" spans="1:30">
      <c r="A229">
        <v>2030</v>
      </c>
      <c r="B229" t="s">
        <v>765</v>
      </c>
      <c r="C229">
        <v>9.35</v>
      </c>
      <c r="Y229" s="46"/>
      <c r="Z229" s="46"/>
      <c r="AA229" s="46"/>
      <c r="AD229" s="46"/>
    </row>
    <row r="230" spans="1:30">
      <c r="A230">
        <v>2031</v>
      </c>
      <c r="B230" t="s">
        <v>766</v>
      </c>
      <c r="C230">
        <v>12.9</v>
      </c>
      <c r="Y230" s="46"/>
      <c r="Z230" s="46"/>
      <c r="AA230" s="46"/>
      <c r="AD230" s="46"/>
    </row>
    <row r="231" spans="1:30">
      <c r="A231">
        <v>2032</v>
      </c>
      <c r="B231" t="s">
        <v>767</v>
      </c>
      <c r="C231">
        <v>8.7799999999999994</v>
      </c>
      <c r="Y231" s="46"/>
      <c r="Z231" s="46"/>
      <c r="AA231" s="46"/>
      <c r="AD231" s="46"/>
    </row>
    <row r="232" spans="1:30">
      <c r="A232">
        <v>2033</v>
      </c>
      <c r="B232" t="s">
        <v>768</v>
      </c>
      <c r="C232">
        <v>9.3000000000000007</v>
      </c>
      <c r="Y232" s="46"/>
      <c r="Z232" s="46"/>
      <c r="AA232" s="46"/>
      <c r="AD232" s="46"/>
    </row>
    <row r="233" spans="1:30">
      <c r="A233">
        <v>2034</v>
      </c>
      <c r="B233" t="s">
        <v>769</v>
      </c>
      <c r="C233">
        <v>19.399999999999999</v>
      </c>
      <c r="Y233" s="46"/>
      <c r="Z233" s="46"/>
      <c r="AA233" s="46"/>
      <c r="AD233" s="46"/>
    </row>
    <row r="234" spans="1:30">
      <c r="A234">
        <v>2038</v>
      </c>
      <c r="B234" t="s">
        <v>770</v>
      </c>
      <c r="C234">
        <v>5.75</v>
      </c>
      <c r="Y234" s="46"/>
      <c r="Z234" s="46"/>
      <c r="AA234" s="46"/>
      <c r="AD234" s="46"/>
    </row>
    <row r="235" spans="1:30">
      <c r="A235">
        <v>2049</v>
      </c>
      <c r="B235" t="s">
        <v>771</v>
      </c>
      <c r="C235">
        <v>131</v>
      </c>
      <c r="Y235" s="46"/>
      <c r="Z235" s="46"/>
      <c r="AA235" s="46"/>
      <c r="AD235" s="46"/>
    </row>
    <row r="236" spans="1:30">
      <c r="A236">
        <v>2059</v>
      </c>
      <c r="B236" t="s">
        <v>772</v>
      </c>
      <c r="C236">
        <v>420</v>
      </c>
      <c r="Y236" s="46"/>
      <c r="Z236" s="46"/>
      <c r="AA236" s="46"/>
      <c r="AD236" s="46"/>
    </row>
    <row r="237" spans="1:30">
      <c r="A237">
        <v>2062</v>
      </c>
      <c r="B237" t="s">
        <v>773</v>
      </c>
      <c r="C237">
        <v>41.85</v>
      </c>
      <c r="Y237" s="46"/>
      <c r="Z237" s="46"/>
      <c r="AA237" s="46"/>
      <c r="AD237" s="46"/>
    </row>
    <row r="238" spans="1:30">
      <c r="A238">
        <v>2101</v>
      </c>
      <c r="B238" t="s">
        <v>774</v>
      </c>
      <c r="C238">
        <v>27.85</v>
      </c>
      <c r="Y238" s="46"/>
      <c r="Z238" s="46"/>
      <c r="AA238" s="46"/>
      <c r="AD238" s="46"/>
    </row>
    <row r="239" spans="1:30">
      <c r="A239">
        <v>2102</v>
      </c>
      <c r="B239" t="s">
        <v>775</v>
      </c>
      <c r="C239">
        <v>15.3</v>
      </c>
      <c r="Y239" s="46"/>
      <c r="Z239" s="46"/>
      <c r="AD239" s="46"/>
    </row>
    <row r="240" spans="1:30">
      <c r="A240">
        <v>2103</v>
      </c>
      <c r="B240" t="s">
        <v>776</v>
      </c>
      <c r="C240">
        <v>20.7</v>
      </c>
      <c r="Y240" s="46"/>
      <c r="Z240" s="46"/>
      <c r="AD240" s="46"/>
    </row>
    <row r="241" spans="1:30">
      <c r="A241">
        <v>2104</v>
      </c>
      <c r="B241" t="s">
        <v>777</v>
      </c>
      <c r="C241">
        <v>23.4</v>
      </c>
      <c r="Y241" s="46"/>
      <c r="Z241" s="46"/>
      <c r="AA241" s="46"/>
      <c r="AD241" s="46"/>
    </row>
    <row r="242" spans="1:30">
      <c r="A242">
        <v>2105</v>
      </c>
      <c r="B242" t="s">
        <v>778</v>
      </c>
      <c r="C242">
        <v>55</v>
      </c>
      <c r="Y242" s="46"/>
      <c r="Z242" s="46"/>
      <c r="AA242" s="46"/>
      <c r="AD242" s="46"/>
    </row>
    <row r="243" spans="1:30">
      <c r="A243">
        <v>2106</v>
      </c>
      <c r="B243" t="s">
        <v>779</v>
      </c>
      <c r="C243">
        <v>49.05</v>
      </c>
      <c r="Y243" s="46"/>
      <c r="Z243" s="46"/>
      <c r="AA243" s="46"/>
      <c r="AD243" s="46"/>
    </row>
    <row r="244" spans="1:30">
      <c r="A244">
        <v>2107</v>
      </c>
      <c r="B244" t="s">
        <v>780</v>
      </c>
      <c r="C244">
        <v>16.7</v>
      </c>
      <c r="Y244" s="46"/>
      <c r="Z244" s="46"/>
      <c r="AA244" s="46"/>
      <c r="AD244" s="46"/>
    </row>
    <row r="245" spans="1:30">
      <c r="A245">
        <v>2108</v>
      </c>
      <c r="B245" t="s">
        <v>781</v>
      </c>
      <c r="C245">
        <v>24.1</v>
      </c>
      <c r="Y245" s="46"/>
      <c r="Z245" s="46"/>
      <c r="AA245" s="46"/>
      <c r="AD245" s="46"/>
    </row>
    <row r="246" spans="1:30">
      <c r="A246">
        <v>2109</v>
      </c>
      <c r="B246" t="s">
        <v>782</v>
      </c>
      <c r="C246">
        <v>11.1</v>
      </c>
      <c r="Y246" s="46"/>
      <c r="Z246" s="46"/>
      <c r="AA246" s="46"/>
      <c r="AD246" s="46"/>
    </row>
    <row r="247" spans="1:30">
      <c r="A247">
        <v>2114</v>
      </c>
      <c r="B247" t="s">
        <v>783</v>
      </c>
      <c r="C247">
        <v>72.7</v>
      </c>
      <c r="Y247" s="46"/>
      <c r="Z247" s="46"/>
      <c r="AA247" s="46"/>
      <c r="AD247" s="46"/>
    </row>
    <row r="248" spans="1:30">
      <c r="A248">
        <v>2115</v>
      </c>
      <c r="B248" t="s">
        <v>784</v>
      </c>
      <c r="C248">
        <v>41.9</v>
      </c>
      <c r="Y248" s="46"/>
      <c r="Z248" s="46"/>
      <c r="AA248" s="46"/>
      <c r="AD248" s="46"/>
    </row>
    <row r="249" spans="1:30">
      <c r="A249">
        <v>2201</v>
      </c>
      <c r="B249" t="s">
        <v>785</v>
      </c>
      <c r="C249">
        <v>30.9</v>
      </c>
      <c r="Y249" s="46"/>
      <c r="Z249" s="46"/>
      <c r="AA249" s="46"/>
      <c r="AD249" s="46"/>
    </row>
    <row r="250" spans="1:30">
      <c r="A250">
        <v>2204</v>
      </c>
      <c r="B250" t="s">
        <v>786</v>
      </c>
      <c r="C250">
        <v>22.35</v>
      </c>
      <c r="Y250" s="46"/>
      <c r="Z250" s="46"/>
      <c r="AA250" s="46"/>
      <c r="AD250" s="46"/>
    </row>
    <row r="251" spans="1:30">
      <c r="A251">
        <v>2206</v>
      </c>
      <c r="B251" t="s">
        <v>787</v>
      </c>
      <c r="C251">
        <v>22.2</v>
      </c>
      <c r="Y251" s="46"/>
      <c r="Z251" s="46"/>
      <c r="AD251" s="46"/>
    </row>
    <row r="252" spans="1:30">
      <c r="A252">
        <v>2207</v>
      </c>
      <c r="B252" t="s">
        <v>788</v>
      </c>
      <c r="C252">
        <v>387</v>
      </c>
      <c r="Y252" s="46"/>
      <c r="Z252" s="46"/>
      <c r="AA252" s="46"/>
      <c r="AD252" s="46"/>
    </row>
    <row r="253" spans="1:30">
      <c r="A253">
        <v>2208</v>
      </c>
      <c r="B253" t="s">
        <v>789</v>
      </c>
      <c r="C253">
        <v>14.35</v>
      </c>
      <c r="Y253" s="46"/>
      <c r="Z253" s="46"/>
      <c r="AA253" s="46"/>
      <c r="AD253" s="46"/>
    </row>
    <row r="254" spans="1:30">
      <c r="A254">
        <v>2227</v>
      </c>
      <c r="B254" t="s">
        <v>790</v>
      </c>
      <c r="C254">
        <v>283</v>
      </c>
      <c r="Y254" s="46"/>
      <c r="Z254" s="46"/>
      <c r="AA254" s="46"/>
      <c r="AD254" s="46"/>
    </row>
    <row r="255" spans="1:30">
      <c r="A255">
        <v>2228</v>
      </c>
      <c r="B255" t="s">
        <v>791</v>
      </c>
      <c r="C255">
        <v>157</v>
      </c>
      <c r="Y255" s="46"/>
      <c r="Z255" s="46"/>
      <c r="AA255" s="46"/>
      <c r="AD255" s="46"/>
    </row>
    <row r="256" spans="1:30">
      <c r="A256">
        <v>2231</v>
      </c>
      <c r="B256" t="s">
        <v>792</v>
      </c>
      <c r="C256">
        <v>391</v>
      </c>
      <c r="Y256" s="46"/>
      <c r="Z256" s="46"/>
      <c r="AA256" s="46"/>
      <c r="AD256" s="46"/>
    </row>
    <row r="257" spans="1:30">
      <c r="A257">
        <v>2236</v>
      </c>
      <c r="B257" t="s">
        <v>793</v>
      </c>
      <c r="C257">
        <v>33.299999999999997</v>
      </c>
      <c r="Y257" s="46"/>
      <c r="Z257" s="46"/>
      <c r="AA257" s="46"/>
      <c r="AD257" s="46"/>
    </row>
    <row r="258" spans="1:30">
      <c r="A258">
        <v>2301</v>
      </c>
      <c r="B258" t="s">
        <v>794</v>
      </c>
      <c r="C258">
        <v>32.65</v>
      </c>
      <c r="Y258" s="46"/>
      <c r="Z258" s="46"/>
      <c r="AA258" s="46"/>
      <c r="AD258" s="46"/>
    </row>
    <row r="259" spans="1:30">
      <c r="A259">
        <v>2302</v>
      </c>
      <c r="B259" t="s">
        <v>795</v>
      </c>
      <c r="C259">
        <v>6.16</v>
      </c>
      <c r="Y259" s="46"/>
      <c r="Z259" s="46"/>
      <c r="AA259" s="46"/>
      <c r="AD259" s="46"/>
    </row>
    <row r="260" spans="1:30">
      <c r="A260">
        <v>2303</v>
      </c>
      <c r="B260" t="s">
        <v>796</v>
      </c>
      <c r="C260">
        <v>12.3</v>
      </c>
      <c r="Y260" s="46"/>
      <c r="Z260" s="46"/>
      <c r="AA260" s="46"/>
      <c r="AD260" s="46"/>
    </row>
    <row r="261" spans="1:30">
      <c r="A261">
        <v>2305</v>
      </c>
      <c r="B261" t="s">
        <v>797</v>
      </c>
      <c r="C261">
        <v>5.48</v>
      </c>
      <c r="Y261" s="46"/>
      <c r="Z261" s="46"/>
      <c r="AA261" s="46"/>
      <c r="AD261" s="46"/>
    </row>
    <row r="262" spans="1:30">
      <c r="A262">
        <v>2308</v>
      </c>
      <c r="B262" t="s">
        <v>798</v>
      </c>
      <c r="C262">
        <v>157</v>
      </c>
      <c r="Y262" s="46"/>
      <c r="Z262" s="46"/>
      <c r="AA262" s="46"/>
      <c r="AD262" s="46"/>
    </row>
    <row r="263" spans="1:30">
      <c r="A263">
        <v>2311</v>
      </c>
      <c r="B263" t="s">
        <v>799</v>
      </c>
      <c r="C263">
        <v>38.35</v>
      </c>
      <c r="Y263" s="46"/>
      <c r="Z263" s="46"/>
      <c r="AA263" s="46"/>
      <c r="AD263" s="46"/>
    </row>
    <row r="264" spans="1:30">
      <c r="A264">
        <v>2312</v>
      </c>
      <c r="B264" t="s">
        <v>800</v>
      </c>
      <c r="C264">
        <v>9.39</v>
      </c>
      <c r="Y264" s="46"/>
      <c r="Z264" s="46"/>
      <c r="AA264" s="46"/>
      <c r="AD264" s="46"/>
    </row>
    <row r="265" spans="1:30">
      <c r="A265">
        <v>2313</v>
      </c>
      <c r="B265" t="s">
        <v>801</v>
      </c>
      <c r="C265">
        <v>21.65</v>
      </c>
      <c r="Y265" s="46"/>
      <c r="Z265" s="46"/>
      <c r="AA265" s="46"/>
      <c r="AD265" s="46"/>
    </row>
    <row r="266" spans="1:30">
      <c r="A266">
        <v>2314</v>
      </c>
      <c r="B266" t="s">
        <v>802</v>
      </c>
      <c r="C266">
        <v>9.89</v>
      </c>
      <c r="Y266" s="46"/>
      <c r="Z266" s="46"/>
      <c r="AA266" s="46"/>
      <c r="AD266" s="46"/>
    </row>
    <row r="267" spans="1:30">
      <c r="A267">
        <v>2316</v>
      </c>
      <c r="B267" t="s">
        <v>803</v>
      </c>
      <c r="C267">
        <v>27</v>
      </c>
      <c r="Y267" s="46"/>
      <c r="Z267" s="46"/>
      <c r="AA267" s="46"/>
      <c r="AD267" s="46"/>
    </row>
    <row r="268" spans="1:30">
      <c r="A268">
        <v>2317</v>
      </c>
      <c r="B268" t="s">
        <v>804</v>
      </c>
      <c r="C268">
        <v>81</v>
      </c>
      <c r="M268" s="46"/>
      <c r="Y268" s="46"/>
      <c r="Z268" s="46"/>
      <c r="AA268" s="46"/>
      <c r="AD268" s="46"/>
    </row>
    <row r="269" spans="1:30">
      <c r="A269">
        <v>2321</v>
      </c>
      <c r="B269" t="s">
        <v>805</v>
      </c>
      <c r="C269">
        <v>1.75</v>
      </c>
      <c r="Y269" s="46"/>
      <c r="Z269" s="46"/>
      <c r="AD269" s="46"/>
    </row>
    <row r="270" spans="1:30">
      <c r="A270">
        <v>2323</v>
      </c>
      <c r="B270" t="s">
        <v>806</v>
      </c>
      <c r="C270">
        <v>3.4</v>
      </c>
      <c r="Y270" s="46"/>
      <c r="Z270" s="46"/>
      <c r="AA270" s="46"/>
      <c r="AD270" s="46"/>
    </row>
    <row r="271" spans="1:30">
      <c r="A271">
        <v>2324</v>
      </c>
      <c r="B271" t="s">
        <v>807</v>
      </c>
      <c r="C271">
        <v>18.75</v>
      </c>
      <c r="Y271" s="46"/>
      <c r="Z271" s="46"/>
      <c r="AD271" s="46"/>
    </row>
    <row r="272" spans="1:30">
      <c r="A272">
        <v>2325</v>
      </c>
      <c r="B272" t="s">
        <v>808</v>
      </c>
      <c r="C272">
        <v>52.1</v>
      </c>
      <c r="Y272" s="46"/>
      <c r="Z272" s="46"/>
      <c r="AD272" s="46"/>
    </row>
    <row r="273" spans="1:30">
      <c r="A273">
        <v>2327</v>
      </c>
      <c r="B273" t="s">
        <v>809</v>
      </c>
      <c r="C273">
        <v>51.3</v>
      </c>
      <c r="Y273" s="46"/>
      <c r="Z273" s="46"/>
      <c r="AD273" s="46"/>
    </row>
    <row r="274" spans="1:30">
      <c r="A274">
        <v>2328</v>
      </c>
      <c r="B274" t="s">
        <v>810</v>
      </c>
      <c r="C274">
        <v>13.35</v>
      </c>
      <c r="Y274" s="46"/>
      <c r="Z274" s="46"/>
      <c r="AD274" s="46"/>
    </row>
    <row r="275" spans="1:30">
      <c r="A275">
        <v>2329</v>
      </c>
      <c r="B275" t="s">
        <v>811</v>
      </c>
      <c r="C275">
        <v>11.6</v>
      </c>
      <c r="Y275" s="46"/>
      <c r="Z275" s="46"/>
      <c r="AD275" s="46"/>
    </row>
    <row r="276" spans="1:30">
      <c r="A276">
        <v>2330</v>
      </c>
      <c r="B276" t="s">
        <v>812</v>
      </c>
      <c r="C276">
        <v>143.5</v>
      </c>
      <c r="Y276" s="46"/>
      <c r="Z276" s="46"/>
      <c r="AD276" s="46"/>
    </row>
    <row r="277" spans="1:30">
      <c r="A277">
        <v>2331</v>
      </c>
      <c r="B277" t="s">
        <v>813</v>
      </c>
      <c r="C277">
        <v>20.25</v>
      </c>
      <c r="Y277" s="46"/>
      <c r="Z277" s="46"/>
      <c r="AD277" s="46"/>
    </row>
    <row r="278" spans="1:30">
      <c r="A278">
        <v>2332</v>
      </c>
      <c r="B278" t="s">
        <v>814</v>
      </c>
      <c r="C278">
        <v>10.3</v>
      </c>
      <c r="Y278" s="46"/>
      <c r="Z278" s="46"/>
      <c r="AD278" s="46"/>
    </row>
    <row r="279" spans="1:30">
      <c r="A279">
        <v>2337</v>
      </c>
      <c r="B279" t="s">
        <v>815</v>
      </c>
      <c r="C279">
        <v>4.8099999999999996</v>
      </c>
      <c r="Y279" s="46"/>
      <c r="Z279" s="46"/>
      <c r="AD279" s="46"/>
    </row>
    <row r="280" spans="1:30">
      <c r="A280">
        <v>2338</v>
      </c>
      <c r="B280" t="s">
        <v>816</v>
      </c>
      <c r="C280">
        <v>8.2100000000000009</v>
      </c>
      <c r="Y280" s="46"/>
      <c r="Z280" s="46"/>
      <c r="AD280" s="46"/>
    </row>
    <row r="281" spans="1:30">
      <c r="A281">
        <v>2340</v>
      </c>
      <c r="B281" t="s">
        <v>817</v>
      </c>
      <c r="C281">
        <v>9.9499999999999993</v>
      </c>
      <c r="Y281" s="46"/>
      <c r="Z281" s="46"/>
      <c r="AA281" s="46"/>
      <c r="AD281" s="46"/>
    </row>
    <row r="282" spans="1:30">
      <c r="A282">
        <v>2342</v>
      </c>
      <c r="B282" t="s">
        <v>818</v>
      </c>
      <c r="C282">
        <v>2.2200000000000002</v>
      </c>
      <c r="Y282" s="46"/>
      <c r="Z282" s="46"/>
      <c r="AA282" s="46"/>
      <c r="AD282" s="46"/>
    </row>
    <row r="283" spans="1:30">
      <c r="A283">
        <v>2344</v>
      </c>
      <c r="B283" t="s">
        <v>819</v>
      </c>
      <c r="C283">
        <v>8.08</v>
      </c>
      <c r="Y283" s="46"/>
      <c r="Z283" s="46"/>
      <c r="AD283" s="46"/>
    </row>
    <row r="284" spans="1:30">
      <c r="A284">
        <v>2345</v>
      </c>
      <c r="B284" t="s">
        <v>820</v>
      </c>
      <c r="C284">
        <v>31.8</v>
      </c>
      <c r="Y284" s="46"/>
      <c r="Z284" s="46"/>
      <c r="AA284" s="46"/>
      <c r="AD284" s="46"/>
    </row>
    <row r="285" spans="1:30">
      <c r="A285">
        <v>2347</v>
      </c>
      <c r="B285" t="s">
        <v>821</v>
      </c>
      <c r="C285">
        <v>32.549999999999997</v>
      </c>
      <c r="Y285" s="46"/>
      <c r="Z285" s="46"/>
      <c r="AD285" s="46"/>
    </row>
    <row r="286" spans="1:30">
      <c r="A286">
        <v>2348</v>
      </c>
      <c r="B286" t="s">
        <v>822</v>
      </c>
      <c r="C286" t="s">
        <v>1901</v>
      </c>
      <c r="Y286" s="46"/>
      <c r="Z286" s="46"/>
      <c r="AA286" s="46"/>
      <c r="AD286" s="46"/>
    </row>
    <row r="287" spans="1:30">
      <c r="A287">
        <v>2349</v>
      </c>
      <c r="B287" t="s">
        <v>823</v>
      </c>
      <c r="C287">
        <v>2.72</v>
      </c>
      <c r="Y287" s="46"/>
      <c r="Z287" s="46"/>
      <c r="AD287" s="46"/>
    </row>
    <row r="288" spans="1:30">
      <c r="A288">
        <v>2351</v>
      </c>
      <c r="B288" t="s">
        <v>824</v>
      </c>
      <c r="C288">
        <v>27.85</v>
      </c>
      <c r="Y288" s="46"/>
      <c r="Z288" s="46"/>
      <c r="AD288" s="46"/>
    </row>
    <row r="289" spans="1:30">
      <c r="A289">
        <v>2352</v>
      </c>
      <c r="B289" t="s">
        <v>825</v>
      </c>
      <c r="C289">
        <v>11.1</v>
      </c>
      <c r="Y289" s="46"/>
      <c r="Z289" s="46"/>
      <c r="AD289" s="46"/>
    </row>
    <row r="290" spans="1:30">
      <c r="A290">
        <v>2353</v>
      </c>
      <c r="B290" t="s">
        <v>826</v>
      </c>
      <c r="C290">
        <v>12.2</v>
      </c>
      <c r="Y290" s="46"/>
      <c r="Z290" s="46"/>
      <c r="AD290" s="46"/>
    </row>
    <row r="291" spans="1:30">
      <c r="A291">
        <v>2354</v>
      </c>
      <c r="B291" t="s">
        <v>827</v>
      </c>
      <c r="C291">
        <v>71.3</v>
      </c>
      <c r="Y291" s="46"/>
      <c r="Z291" s="46"/>
      <c r="AD291" s="46"/>
    </row>
    <row r="292" spans="1:30">
      <c r="A292">
        <v>2355</v>
      </c>
      <c r="B292" t="s">
        <v>828</v>
      </c>
      <c r="C292">
        <v>52.2</v>
      </c>
      <c r="Y292" s="46"/>
      <c r="Z292" s="46"/>
      <c r="AD292" s="46"/>
    </row>
    <row r="293" spans="1:30">
      <c r="A293">
        <v>2356</v>
      </c>
      <c r="B293" t="s">
        <v>829</v>
      </c>
      <c r="C293">
        <v>21.9</v>
      </c>
      <c r="Y293" s="46"/>
      <c r="Z293" s="46"/>
      <c r="AD293" s="46"/>
    </row>
    <row r="294" spans="1:30">
      <c r="A294">
        <v>2357</v>
      </c>
      <c r="B294" t="s">
        <v>830</v>
      </c>
      <c r="C294">
        <v>279.5</v>
      </c>
      <c r="Y294" s="46"/>
      <c r="Z294" s="46"/>
      <c r="AA294" s="46"/>
      <c r="AD294" s="46"/>
    </row>
    <row r="295" spans="1:30">
      <c r="A295">
        <v>2358</v>
      </c>
      <c r="B295" t="s">
        <v>831</v>
      </c>
      <c r="C295">
        <v>8.7899999999999991</v>
      </c>
      <c r="Y295" s="46"/>
      <c r="Z295" s="46"/>
      <c r="AA295" s="46"/>
      <c r="AD295" s="46"/>
    </row>
    <row r="296" spans="1:30">
      <c r="A296">
        <v>2359</v>
      </c>
      <c r="B296" t="s">
        <v>832</v>
      </c>
      <c r="C296">
        <v>15.45</v>
      </c>
      <c r="Y296" s="46"/>
      <c r="Z296" s="46"/>
      <c r="AA296" s="46"/>
      <c r="AD296" s="46"/>
    </row>
    <row r="297" spans="1:30">
      <c r="A297">
        <v>2360</v>
      </c>
      <c r="B297" t="s">
        <v>833</v>
      </c>
      <c r="C297">
        <v>64.7</v>
      </c>
      <c r="Y297" s="46"/>
      <c r="Z297" s="46"/>
      <c r="AA297" s="46"/>
      <c r="AD297" s="46"/>
    </row>
    <row r="298" spans="1:30">
      <c r="A298">
        <v>2362</v>
      </c>
      <c r="B298" t="s">
        <v>835</v>
      </c>
      <c r="C298">
        <v>31.45</v>
      </c>
      <c r="Y298" s="46"/>
      <c r="Z298" s="46"/>
      <c r="AA298" s="46"/>
      <c r="AD298" s="46"/>
    </row>
    <row r="299" spans="1:30">
      <c r="A299">
        <v>2363</v>
      </c>
      <c r="B299" t="s">
        <v>836</v>
      </c>
      <c r="C299">
        <v>6.98</v>
      </c>
      <c r="Y299" s="46"/>
      <c r="Z299" s="46"/>
      <c r="AA299" s="46"/>
      <c r="AD299" s="46"/>
    </row>
    <row r="300" spans="1:30">
      <c r="A300">
        <v>2364</v>
      </c>
      <c r="B300" t="s">
        <v>837</v>
      </c>
      <c r="C300">
        <v>2.48</v>
      </c>
      <c r="Y300" s="46"/>
      <c r="Z300" s="46"/>
      <c r="AD300" s="46"/>
    </row>
    <row r="301" spans="1:30">
      <c r="A301">
        <v>2365</v>
      </c>
      <c r="B301" t="s">
        <v>838</v>
      </c>
      <c r="C301">
        <v>9.11</v>
      </c>
      <c r="Y301" s="46"/>
      <c r="Z301" s="46"/>
      <c r="AD301" s="46"/>
    </row>
    <row r="302" spans="1:30">
      <c r="A302">
        <v>2367</v>
      </c>
      <c r="B302" t="s">
        <v>839</v>
      </c>
      <c r="C302">
        <v>13.3</v>
      </c>
      <c r="Y302" s="46"/>
      <c r="Z302" s="46"/>
      <c r="AD302" s="46"/>
    </row>
    <row r="303" spans="1:30">
      <c r="A303">
        <v>2368</v>
      </c>
      <c r="B303" t="s">
        <v>840</v>
      </c>
      <c r="C303">
        <v>9.93</v>
      </c>
      <c r="Y303" s="46"/>
      <c r="Z303" s="46"/>
      <c r="AA303" s="46"/>
      <c r="AD303" s="46"/>
    </row>
    <row r="304" spans="1:30">
      <c r="A304">
        <v>2369</v>
      </c>
      <c r="B304" t="s">
        <v>841</v>
      </c>
      <c r="C304">
        <v>9.0399999999999991</v>
      </c>
      <c r="Y304" s="46"/>
      <c r="Z304" s="46"/>
      <c r="AD304" s="46"/>
    </row>
    <row r="305" spans="1:30">
      <c r="A305">
        <v>2371</v>
      </c>
      <c r="B305" t="s">
        <v>842</v>
      </c>
      <c r="C305">
        <v>5.45</v>
      </c>
      <c r="Y305" s="46"/>
      <c r="Z305" s="46"/>
      <c r="AD305" s="46"/>
    </row>
    <row r="306" spans="1:30">
      <c r="A306">
        <v>2373</v>
      </c>
      <c r="B306" t="s">
        <v>843</v>
      </c>
      <c r="C306">
        <v>51.5</v>
      </c>
      <c r="Y306" s="46"/>
      <c r="Z306" s="46"/>
      <c r="AD306" s="46"/>
    </row>
    <row r="307" spans="1:30">
      <c r="A307">
        <v>2374</v>
      </c>
      <c r="B307" t="s">
        <v>844</v>
      </c>
      <c r="C307">
        <v>23.4</v>
      </c>
      <c r="Y307" s="46"/>
      <c r="Z307" s="46"/>
      <c r="AD307" s="46"/>
    </row>
    <row r="308" spans="1:30">
      <c r="A308">
        <v>2375</v>
      </c>
      <c r="B308" t="s">
        <v>845</v>
      </c>
      <c r="C308">
        <v>13.5</v>
      </c>
      <c r="Y308" s="46"/>
      <c r="Z308" s="46"/>
      <c r="AD308" s="46"/>
    </row>
    <row r="309" spans="1:30">
      <c r="A309">
        <v>2376</v>
      </c>
      <c r="B309" t="s">
        <v>846</v>
      </c>
      <c r="C309">
        <v>36.75</v>
      </c>
      <c r="Y309" s="46"/>
      <c r="Z309" s="46"/>
      <c r="AA309" s="46"/>
      <c r="AD309" s="46"/>
    </row>
    <row r="310" spans="1:30">
      <c r="A310">
        <v>2377</v>
      </c>
      <c r="B310" t="s">
        <v>847</v>
      </c>
      <c r="C310">
        <v>46</v>
      </c>
      <c r="Y310" s="46"/>
      <c r="Z310" s="46"/>
      <c r="AD310" s="46"/>
    </row>
    <row r="311" spans="1:30">
      <c r="A311">
        <v>2379</v>
      </c>
      <c r="B311" t="s">
        <v>848</v>
      </c>
      <c r="C311">
        <v>79.7</v>
      </c>
      <c r="Y311" s="46"/>
      <c r="Z311" s="46"/>
      <c r="AD311" s="46"/>
    </row>
    <row r="312" spans="1:30">
      <c r="A312">
        <v>2380</v>
      </c>
      <c r="B312" t="s">
        <v>849</v>
      </c>
      <c r="C312">
        <v>7.38</v>
      </c>
      <c r="Y312" s="46"/>
      <c r="Z312" s="46"/>
      <c r="AA312" s="46"/>
      <c r="AD312" s="46"/>
    </row>
    <row r="313" spans="1:30">
      <c r="A313">
        <v>2382</v>
      </c>
      <c r="B313" t="s">
        <v>850</v>
      </c>
      <c r="C313">
        <v>53.1</v>
      </c>
      <c r="Y313" s="46"/>
      <c r="Z313" s="46"/>
      <c r="AA313" s="46"/>
      <c r="AD313" s="46"/>
    </row>
    <row r="314" spans="1:30">
      <c r="A314">
        <v>2383</v>
      </c>
      <c r="B314" t="s">
        <v>851</v>
      </c>
      <c r="C314">
        <v>59</v>
      </c>
      <c r="Y314" s="46"/>
      <c r="Z314" s="46"/>
      <c r="AA314" s="46"/>
      <c r="AD314" s="46"/>
    </row>
    <row r="315" spans="1:30">
      <c r="A315">
        <v>2385</v>
      </c>
      <c r="B315" t="s">
        <v>852</v>
      </c>
      <c r="C315">
        <v>72.400000000000006</v>
      </c>
      <c r="Y315" s="46"/>
      <c r="Z315" s="46"/>
      <c r="AA315" s="46"/>
      <c r="AD315" s="46"/>
    </row>
    <row r="316" spans="1:30">
      <c r="A316">
        <v>2388</v>
      </c>
      <c r="B316" t="s">
        <v>854</v>
      </c>
      <c r="C316">
        <v>8.36</v>
      </c>
      <c r="Y316" s="46"/>
      <c r="Z316" s="46"/>
      <c r="AA316" s="46"/>
      <c r="AD316" s="46"/>
    </row>
    <row r="317" spans="1:30">
      <c r="A317">
        <v>2390</v>
      </c>
      <c r="B317" t="s">
        <v>855</v>
      </c>
      <c r="C317">
        <v>21.65</v>
      </c>
      <c r="Y317" s="46"/>
      <c r="Z317" s="46"/>
      <c r="AA317" s="46"/>
      <c r="AD317" s="46"/>
    </row>
    <row r="318" spans="1:30">
      <c r="A318">
        <v>2392</v>
      </c>
      <c r="B318" t="s">
        <v>856</v>
      </c>
      <c r="C318">
        <v>45.55</v>
      </c>
      <c r="Y318" s="46"/>
      <c r="Z318" s="46"/>
      <c r="AA318" s="46"/>
      <c r="AD318" s="46"/>
    </row>
    <row r="319" spans="1:30">
      <c r="A319">
        <v>2393</v>
      </c>
      <c r="B319" t="s">
        <v>857</v>
      </c>
      <c r="C319">
        <v>48.35</v>
      </c>
      <c r="Y319" s="46"/>
      <c r="Z319" s="46"/>
      <c r="AA319" s="46"/>
      <c r="AD319" s="46"/>
    </row>
    <row r="320" spans="1:30">
      <c r="A320">
        <v>2395</v>
      </c>
      <c r="B320" t="s">
        <v>858</v>
      </c>
      <c r="C320">
        <v>214.5</v>
      </c>
      <c r="Y320" s="46"/>
      <c r="Z320" s="46"/>
      <c r="AD320" s="46"/>
    </row>
    <row r="321" spans="1:30">
      <c r="A321">
        <v>2397</v>
      </c>
      <c r="B321" t="s">
        <v>859</v>
      </c>
      <c r="C321">
        <v>49.45</v>
      </c>
      <c r="Y321" s="46"/>
      <c r="Z321" s="46"/>
      <c r="AA321" s="46"/>
      <c r="AD321" s="46"/>
    </row>
    <row r="322" spans="1:30">
      <c r="A322">
        <v>2399</v>
      </c>
      <c r="B322" t="s">
        <v>860</v>
      </c>
      <c r="C322">
        <v>7.1</v>
      </c>
      <c r="Y322" s="46"/>
      <c r="Z322" s="46"/>
      <c r="AA322" s="46"/>
      <c r="AD322" s="46"/>
    </row>
    <row r="323" spans="1:30">
      <c r="A323">
        <v>2401</v>
      </c>
      <c r="B323" t="s">
        <v>861</v>
      </c>
      <c r="C323">
        <v>11.85</v>
      </c>
      <c r="Y323" s="46"/>
      <c r="Z323" s="46"/>
      <c r="AD323" s="46"/>
    </row>
    <row r="324" spans="1:30">
      <c r="A324">
        <v>2402</v>
      </c>
      <c r="B324" t="s">
        <v>862</v>
      </c>
      <c r="C324">
        <v>15.7</v>
      </c>
      <c r="Y324" s="46"/>
      <c r="Z324" s="46"/>
      <c r="AD324" s="46"/>
    </row>
    <row r="325" spans="1:30">
      <c r="A325">
        <v>2404</v>
      </c>
      <c r="B325" t="s">
        <v>863</v>
      </c>
      <c r="C325">
        <v>41.95</v>
      </c>
      <c r="Y325" s="46"/>
      <c r="Z325" s="46"/>
      <c r="AA325" s="46"/>
      <c r="AD325" s="46"/>
    </row>
    <row r="326" spans="1:30">
      <c r="A326">
        <v>2405</v>
      </c>
      <c r="B326" t="s">
        <v>864</v>
      </c>
      <c r="C326">
        <v>6.96</v>
      </c>
      <c r="Y326" s="46"/>
      <c r="Z326" s="46"/>
      <c r="AD326" s="46"/>
    </row>
    <row r="327" spans="1:30">
      <c r="A327">
        <v>2406</v>
      </c>
      <c r="B327" t="s">
        <v>865</v>
      </c>
      <c r="C327">
        <v>36.25</v>
      </c>
      <c r="Y327" s="46"/>
      <c r="Z327" s="46"/>
      <c r="AA327" s="46"/>
      <c r="AD327" s="46"/>
    </row>
    <row r="328" spans="1:30">
      <c r="A328">
        <v>2408</v>
      </c>
      <c r="B328" t="s">
        <v>866</v>
      </c>
      <c r="C328">
        <v>49.6</v>
      </c>
      <c r="Y328" s="46"/>
      <c r="Z328" s="46"/>
      <c r="AD328" s="46"/>
    </row>
    <row r="329" spans="1:30">
      <c r="A329">
        <v>2409</v>
      </c>
      <c r="B329" t="s">
        <v>867</v>
      </c>
      <c r="C329">
        <v>9.7899999999999991</v>
      </c>
      <c r="Y329" s="46"/>
      <c r="Z329" s="46"/>
      <c r="AD329" s="46"/>
    </row>
    <row r="330" spans="1:30">
      <c r="A330">
        <v>2412</v>
      </c>
      <c r="B330" t="s">
        <v>868</v>
      </c>
      <c r="C330">
        <v>99.5</v>
      </c>
      <c r="O330" s="46"/>
      <c r="Y330" s="46"/>
      <c r="Z330" s="46"/>
      <c r="AD330" s="46"/>
    </row>
    <row r="331" spans="1:30">
      <c r="A331">
        <v>2413</v>
      </c>
      <c r="B331" t="s">
        <v>869</v>
      </c>
      <c r="C331">
        <v>15.75</v>
      </c>
      <c r="Y331" s="46"/>
      <c r="Z331" s="46"/>
      <c r="AD331" s="46"/>
    </row>
    <row r="332" spans="1:30">
      <c r="A332">
        <v>2414</v>
      </c>
      <c r="B332" t="s">
        <v>870</v>
      </c>
      <c r="C332">
        <v>15.85</v>
      </c>
      <c r="Y332" s="46"/>
      <c r="Z332" s="46"/>
      <c r="AA332" s="46"/>
      <c r="AD332" s="46"/>
    </row>
    <row r="333" spans="1:30">
      <c r="A333">
        <v>2415</v>
      </c>
      <c r="B333" t="s">
        <v>871</v>
      </c>
      <c r="C333">
        <v>12.4</v>
      </c>
      <c r="Y333" s="46"/>
      <c r="Z333" s="46"/>
      <c r="AA333" s="46"/>
      <c r="AD333" s="46"/>
    </row>
    <row r="334" spans="1:30">
      <c r="A334">
        <v>2417</v>
      </c>
      <c r="B334" t="s">
        <v>872</v>
      </c>
      <c r="C334">
        <v>8.9600000000000009</v>
      </c>
      <c r="Y334" s="46"/>
      <c r="Z334" s="46"/>
      <c r="AD334" s="46"/>
    </row>
    <row r="335" spans="1:30">
      <c r="A335">
        <v>2419</v>
      </c>
      <c r="B335" t="s">
        <v>873</v>
      </c>
      <c r="C335">
        <v>14.3</v>
      </c>
      <c r="Y335" s="46"/>
      <c r="Z335" s="46"/>
      <c r="AA335" s="46"/>
      <c r="AD335" s="46"/>
    </row>
    <row r="336" spans="1:30">
      <c r="A336">
        <v>2420</v>
      </c>
      <c r="B336" t="s">
        <v>874</v>
      </c>
      <c r="C336">
        <v>43.25</v>
      </c>
      <c r="Y336" s="46"/>
      <c r="Z336" s="46"/>
      <c r="AA336" s="46"/>
      <c r="AD336" s="46"/>
    </row>
    <row r="337" spans="1:30">
      <c r="A337">
        <v>2421</v>
      </c>
      <c r="B337" t="s">
        <v>875</v>
      </c>
      <c r="C337">
        <v>17.45</v>
      </c>
      <c r="Y337" s="46"/>
      <c r="Z337" s="46"/>
      <c r="AA337" s="46"/>
      <c r="AD337" s="46"/>
    </row>
    <row r="338" spans="1:30">
      <c r="A338">
        <v>2423</v>
      </c>
      <c r="B338" t="s">
        <v>876</v>
      </c>
      <c r="C338">
        <v>17.149999999999999</v>
      </c>
      <c r="Y338" s="46"/>
      <c r="Z338" s="46"/>
      <c r="AA338" s="46"/>
      <c r="AD338" s="46"/>
    </row>
    <row r="339" spans="1:30">
      <c r="A339">
        <v>2424</v>
      </c>
      <c r="B339" t="s">
        <v>877</v>
      </c>
      <c r="C339" t="s">
        <v>1901</v>
      </c>
      <c r="Y339" s="46"/>
      <c r="Z339" s="46"/>
      <c r="AA339" s="46"/>
      <c r="AD339" s="46"/>
    </row>
    <row r="340" spans="1:30">
      <c r="A340">
        <v>2425</v>
      </c>
      <c r="B340" t="s">
        <v>878</v>
      </c>
      <c r="C340">
        <v>22.1</v>
      </c>
      <c r="Y340" s="46"/>
      <c r="Z340" s="46"/>
      <c r="AA340" s="46"/>
      <c r="AD340" s="46"/>
    </row>
    <row r="341" spans="1:30">
      <c r="A341">
        <v>2426</v>
      </c>
      <c r="B341" t="s">
        <v>879</v>
      </c>
      <c r="C341">
        <v>15.85</v>
      </c>
      <c r="Y341" s="46"/>
      <c r="Z341" s="46"/>
      <c r="AA341" s="46"/>
      <c r="AD341" s="46"/>
    </row>
    <row r="342" spans="1:30">
      <c r="A342">
        <v>2427</v>
      </c>
      <c r="B342" t="s">
        <v>880</v>
      </c>
      <c r="C342">
        <v>6.32</v>
      </c>
      <c r="Y342" s="46"/>
      <c r="Z342" s="46"/>
      <c r="AA342" s="46"/>
      <c r="AD342" s="46"/>
    </row>
    <row r="343" spans="1:30">
      <c r="A343">
        <v>2428</v>
      </c>
      <c r="B343" t="s">
        <v>881</v>
      </c>
      <c r="C343">
        <v>53.6</v>
      </c>
      <c r="Y343" s="46"/>
      <c r="Z343" s="46"/>
      <c r="AA343" s="46"/>
      <c r="AD343" s="46"/>
    </row>
    <row r="344" spans="1:30">
      <c r="A344">
        <v>2429</v>
      </c>
      <c r="B344" t="s">
        <v>882</v>
      </c>
      <c r="C344">
        <v>11.85</v>
      </c>
      <c r="Y344" s="46"/>
      <c r="Z344" s="46"/>
      <c r="AA344" s="46"/>
      <c r="AD344" s="46"/>
    </row>
    <row r="345" spans="1:30">
      <c r="A345">
        <v>2430</v>
      </c>
      <c r="B345" t="s">
        <v>883</v>
      </c>
      <c r="C345">
        <v>21.15</v>
      </c>
      <c r="Y345" s="46"/>
      <c r="Z345" s="46"/>
      <c r="AA345" s="46"/>
      <c r="AD345" s="46"/>
    </row>
    <row r="346" spans="1:30">
      <c r="A346">
        <v>2431</v>
      </c>
      <c r="B346" t="s">
        <v>884</v>
      </c>
      <c r="C346">
        <v>14.75</v>
      </c>
      <c r="Y346" s="46"/>
      <c r="Z346" s="46"/>
      <c r="AA346" s="46"/>
      <c r="AD346" s="46"/>
    </row>
    <row r="347" spans="1:30">
      <c r="A347">
        <v>2433</v>
      </c>
      <c r="B347" t="s">
        <v>885</v>
      </c>
      <c r="C347">
        <v>42.45</v>
      </c>
      <c r="Y347" s="46"/>
      <c r="Z347" s="46"/>
      <c r="AA347" s="46"/>
      <c r="AD347" s="46"/>
    </row>
    <row r="348" spans="1:30">
      <c r="A348">
        <v>2434</v>
      </c>
      <c r="B348" t="s">
        <v>886</v>
      </c>
      <c r="C348">
        <v>5.78</v>
      </c>
      <c r="Y348" s="46"/>
      <c r="Z348" s="46"/>
      <c r="AD348" s="46"/>
    </row>
    <row r="349" spans="1:30">
      <c r="A349">
        <v>2436</v>
      </c>
      <c r="B349" t="s">
        <v>887</v>
      </c>
      <c r="C349">
        <v>21.6</v>
      </c>
      <c r="Y349" s="46"/>
      <c r="Z349" s="46"/>
      <c r="AA349" s="46"/>
      <c r="AD349" s="46"/>
    </row>
    <row r="350" spans="1:30">
      <c r="A350">
        <v>2437</v>
      </c>
      <c r="B350" t="s">
        <v>888</v>
      </c>
      <c r="C350">
        <v>51.6</v>
      </c>
      <c r="Y350" s="46"/>
      <c r="Z350" s="46"/>
      <c r="AA350" s="46"/>
      <c r="AD350" s="46"/>
    </row>
    <row r="351" spans="1:30">
      <c r="A351">
        <v>2438</v>
      </c>
      <c r="B351" t="s">
        <v>889</v>
      </c>
      <c r="C351">
        <v>15.1</v>
      </c>
      <c r="Y351" s="46"/>
      <c r="Z351" s="46"/>
      <c r="AA351" s="46"/>
      <c r="AD351" s="46"/>
    </row>
    <row r="352" spans="1:30">
      <c r="A352">
        <v>2439</v>
      </c>
      <c r="B352" t="s">
        <v>890</v>
      </c>
      <c r="C352">
        <v>60.4</v>
      </c>
      <c r="Y352" s="46"/>
      <c r="Z352" s="46"/>
      <c r="AD352" s="46"/>
    </row>
    <row r="353" spans="1:30">
      <c r="A353">
        <v>2440</v>
      </c>
      <c r="B353" t="s">
        <v>891</v>
      </c>
      <c r="C353">
        <v>7.83</v>
      </c>
      <c r="Y353" s="46"/>
      <c r="Z353" s="46"/>
      <c r="AA353" s="46"/>
      <c r="AD353" s="46"/>
    </row>
    <row r="354" spans="1:30">
      <c r="A354">
        <v>2441</v>
      </c>
      <c r="B354" t="s">
        <v>892</v>
      </c>
      <c r="C354">
        <v>35.450000000000003</v>
      </c>
      <c r="Y354" s="46"/>
      <c r="Z354" s="46"/>
      <c r="AD354" s="46"/>
    </row>
    <row r="355" spans="1:30">
      <c r="A355">
        <v>2442</v>
      </c>
      <c r="B355" t="s">
        <v>893</v>
      </c>
      <c r="C355">
        <v>6.69</v>
      </c>
      <c r="Y355" s="46"/>
      <c r="Z355" s="46"/>
      <c r="AD355" s="46"/>
    </row>
    <row r="356" spans="1:30">
      <c r="A356">
        <v>2443</v>
      </c>
      <c r="B356" t="s">
        <v>894</v>
      </c>
      <c r="C356">
        <v>7.16</v>
      </c>
      <c r="Y356" s="46"/>
      <c r="Z356" s="46"/>
      <c r="AD356" s="46"/>
    </row>
    <row r="357" spans="1:30">
      <c r="A357">
        <v>2444</v>
      </c>
      <c r="B357" t="s">
        <v>895</v>
      </c>
      <c r="C357">
        <v>11.4</v>
      </c>
      <c r="Y357" s="46"/>
      <c r="Z357" s="46"/>
      <c r="AD357" s="46"/>
    </row>
    <row r="358" spans="1:30">
      <c r="A358">
        <v>2448</v>
      </c>
      <c r="B358" t="s">
        <v>896</v>
      </c>
      <c r="C358">
        <v>25.5</v>
      </c>
      <c r="Y358" s="46"/>
      <c r="Z358" s="46"/>
      <c r="AD358" s="46"/>
    </row>
    <row r="359" spans="1:30">
      <c r="A359">
        <v>2449</v>
      </c>
      <c r="B359" t="s">
        <v>897</v>
      </c>
      <c r="C359">
        <v>21.9</v>
      </c>
      <c r="Y359" s="46"/>
      <c r="Z359" s="46"/>
      <c r="AD359" s="46"/>
    </row>
    <row r="360" spans="1:30">
      <c r="A360">
        <v>2450</v>
      </c>
      <c r="B360" t="s">
        <v>898</v>
      </c>
      <c r="C360">
        <v>39.049999999999997</v>
      </c>
      <c r="Y360" s="46"/>
      <c r="Z360" s="46"/>
      <c r="AD360" s="46"/>
    </row>
    <row r="361" spans="1:30">
      <c r="A361">
        <v>2451</v>
      </c>
      <c r="B361" t="s">
        <v>899</v>
      </c>
      <c r="C361">
        <v>86.4</v>
      </c>
      <c r="Y361" s="46"/>
      <c r="Z361" s="46"/>
      <c r="AD361" s="46"/>
    </row>
    <row r="362" spans="1:30">
      <c r="A362">
        <v>2453</v>
      </c>
      <c r="B362" t="s">
        <v>900</v>
      </c>
      <c r="C362">
        <v>10.65</v>
      </c>
      <c r="Y362" s="46"/>
      <c r="Z362" s="46"/>
      <c r="AD362" s="46"/>
    </row>
    <row r="363" spans="1:30">
      <c r="A363">
        <v>2454</v>
      </c>
      <c r="B363" t="s">
        <v>901</v>
      </c>
      <c r="C363">
        <v>259.5</v>
      </c>
      <c r="Y363" s="46"/>
      <c r="Z363" s="46"/>
      <c r="AA363" s="46"/>
      <c r="AD363" s="46"/>
    </row>
    <row r="364" spans="1:30">
      <c r="A364">
        <v>2455</v>
      </c>
      <c r="B364" t="s">
        <v>902</v>
      </c>
      <c r="C364">
        <v>46.4</v>
      </c>
      <c r="Y364" s="46"/>
      <c r="Z364" s="46"/>
      <c r="AD364" s="46"/>
    </row>
    <row r="365" spans="1:30">
      <c r="A365">
        <v>2456</v>
      </c>
      <c r="B365" t="s">
        <v>903</v>
      </c>
      <c r="C365">
        <v>63</v>
      </c>
      <c r="Y365" s="46"/>
      <c r="Z365" s="46"/>
      <c r="AD365" s="46"/>
    </row>
    <row r="366" spans="1:30">
      <c r="A366">
        <v>2457</v>
      </c>
      <c r="B366" t="s">
        <v>904</v>
      </c>
      <c r="C366">
        <v>13.35</v>
      </c>
      <c r="Y366" s="46"/>
      <c r="Z366" s="46"/>
      <c r="AD366" s="46"/>
    </row>
    <row r="367" spans="1:30">
      <c r="A367">
        <v>2458</v>
      </c>
      <c r="B367" t="s">
        <v>905</v>
      </c>
      <c r="C367">
        <v>45.05</v>
      </c>
      <c r="Y367" s="46"/>
      <c r="Z367" s="46"/>
      <c r="AD367" s="46"/>
    </row>
    <row r="368" spans="1:30">
      <c r="A368">
        <v>2459</v>
      </c>
      <c r="B368" t="s">
        <v>906</v>
      </c>
      <c r="C368">
        <v>32.1</v>
      </c>
      <c r="Y368" s="46"/>
      <c r="Z368" s="46"/>
      <c r="AD368" s="46"/>
    </row>
    <row r="369" spans="1:30">
      <c r="A369">
        <v>2460</v>
      </c>
      <c r="B369" t="s">
        <v>907</v>
      </c>
      <c r="C369">
        <v>8.86</v>
      </c>
      <c r="Y369" s="46"/>
      <c r="Z369" s="46"/>
      <c r="AA369" s="46"/>
      <c r="AD369" s="46"/>
    </row>
    <row r="370" spans="1:30">
      <c r="A370">
        <v>2461</v>
      </c>
      <c r="B370" t="s">
        <v>908</v>
      </c>
      <c r="C370">
        <v>13.75</v>
      </c>
      <c r="Y370" s="46"/>
      <c r="Z370" s="46"/>
      <c r="AA370" s="46"/>
      <c r="AD370" s="46"/>
    </row>
    <row r="371" spans="1:30">
      <c r="A371">
        <v>2462</v>
      </c>
      <c r="B371" t="s">
        <v>909</v>
      </c>
      <c r="C371">
        <v>16.899999999999999</v>
      </c>
      <c r="Y371" s="46"/>
      <c r="Z371" s="46"/>
      <c r="AD371" s="46"/>
    </row>
    <row r="372" spans="1:30">
      <c r="A372">
        <v>2464</v>
      </c>
      <c r="B372" t="s">
        <v>910</v>
      </c>
      <c r="C372">
        <v>35.75</v>
      </c>
      <c r="Y372" s="46"/>
      <c r="Z372" s="46"/>
      <c r="AA372" s="46"/>
      <c r="AD372" s="46"/>
    </row>
    <row r="373" spans="1:30">
      <c r="A373">
        <v>2465</v>
      </c>
      <c r="B373" t="s">
        <v>911</v>
      </c>
      <c r="C373">
        <v>10.4</v>
      </c>
      <c r="Y373" s="46"/>
      <c r="Z373" s="46"/>
      <c r="AA373" s="46"/>
      <c r="AD373" s="46"/>
    </row>
    <row r="374" spans="1:30">
      <c r="A374">
        <v>2466</v>
      </c>
      <c r="B374" t="s">
        <v>912</v>
      </c>
      <c r="C374">
        <v>30</v>
      </c>
      <c r="Y374" s="46"/>
      <c r="Z374" s="46"/>
      <c r="AA374" s="46"/>
      <c r="AD374" s="46"/>
    </row>
    <row r="375" spans="1:30">
      <c r="A375">
        <v>2467</v>
      </c>
      <c r="B375" t="s">
        <v>913</v>
      </c>
      <c r="C375">
        <v>12.5</v>
      </c>
      <c r="Y375" s="46"/>
      <c r="Z375" s="46"/>
      <c r="AA375" s="46"/>
      <c r="AD375" s="46"/>
    </row>
    <row r="376" spans="1:30">
      <c r="A376">
        <v>2468</v>
      </c>
      <c r="B376" t="s">
        <v>914</v>
      </c>
      <c r="C376">
        <v>10.199999999999999</v>
      </c>
      <c r="Y376" s="46"/>
      <c r="Z376" s="46"/>
      <c r="AA376" s="46"/>
      <c r="AD376" s="46"/>
    </row>
    <row r="377" spans="1:30">
      <c r="A377">
        <v>2471</v>
      </c>
      <c r="B377" t="s">
        <v>915</v>
      </c>
      <c r="C377">
        <v>12.95</v>
      </c>
      <c r="Y377" s="46"/>
      <c r="Z377" s="46"/>
      <c r="AA377" s="46"/>
      <c r="AD377" s="46"/>
    </row>
    <row r="378" spans="1:30">
      <c r="A378">
        <v>2472</v>
      </c>
      <c r="B378" t="s">
        <v>1853</v>
      </c>
      <c r="C378">
        <v>32.799999999999997</v>
      </c>
      <c r="Y378" s="46"/>
      <c r="Z378" s="46"/>
      <c r="AA378" s="46"/>
      <c r="AD378" s="46"/>
    </row>
    <row r="379" spans="1:30">
      <c r="A379">
        <v>2474</v>
      </c>
      <c r="B379" t="s">
        <v>916</v>
      </c>
      <c r="C379">
        <v>282</v>
      </c>
      <c r="Y379" s="46"/>
      <c r="Z379" s="46"/>
      <c r="AD379" s="46"/>
    </row>
    <row r="380" spans="1:30">
      <c r="A380">
        <v>2475</v>
      </c>
      <c r="B380" t="s">
        <v>917</v>
      </c>
      <c r="C380">
        <v>0.7</v>
      </c>
      <c r="Y380" s="46"/>
      <c r="Z380" s="46"/>
      <c r="AA380" s="46"/>
      <c r="AD380" s="46"/>
    </row>
    <row r="381" spans="1:30">
      <c r="A381">
        <v>2476</v>
      </c>
      <c r="B381" t="s">
        <v>918</v>
      </c>
      <c r="C381">
        <v>21.85</v>
      </c>
      <c r="Y381" s="46"/>
      <c r="Z381" s="46"/>
      <c r="AA381" s="46"/>
      <c r="AD381" s="46"/>
    </row>
    <row r="382" spans="1:30">
      <c r="A382">
        <v>2477</v>
      </c>
      <c r="B382" t="s">
        <v>919</v>
      </c>
      <c r="C382">
        <v>11.9</v>
      </c>
      <c r="Y382" s="46"/>
      <c r="Z382" s="46"/>
      <c r="AA382" s="46"/>
      <c r="AD382" s="46"/>
    </row>
    <row r="383" spans="1:30">
      <c r="A383">
        <v>2478</v>
      </c>
      <c r="B383" t="s">
        <v>920</v>
      </c>
      <c r="C383">
        <v>14.35</v>
      </c>
      <c r="Y383" s="46"/>
      <c r="Z383" s="46"/>
      <c r="AA383" s="46"/>
      <c r="AD383" s="46"/>
    </row>
    <row r="384" spans="1:30">
      <c r="A384">
        <v>2480</v>
      </c>
      <c r="B384" t="s">
        <v>921</v>
      </c>
      <c r="C384">
        <v>24.55</v>
      </c>
      <c r="Y384" s="46"/>
      <c r="Z384" s="46"/>
      <c r="AA384" s="46"/>
      <c r="AD384" s="46"/>
    </row>
    <row r="385" spans="1:30">
      <c r="A385">
        <v>2481</v>
      </c>
      <c r="B385" t="s">
        <v>922</v>
      </c>
      <c r="C385">
        <v>14.5</v>
      </c>
      <c r="Y385" s="46"/>
      <c r="Z385" s="46"/>
      <c r="AA385" s="46"/>
      <c r="AD385" s="46"/>
    </row>
    <row r="386" spans="1:30">
      <c r="A386">
        <v>2482</v>
      </c>
      <c r="B386" t="s">
        <v>923</v>
      </c>
      <c r="C386">
        <v>13.4</v>
      </c>
      <c r="Y386" s="46"/>
      <c r="Z386" s="46"/>
      <c r="AA386" s="46"/>
      <c r="AD386" s="46"/>
    </row>
    <row r="387" spans="1:30">
      <c r="A387">
        <v>2483</v>
      </c>
      <c r="B387" t="s">
        <v>924</v>
      </c>
      <c r="C387">
        <v>18.75</v>
      </c>
      <c r="Y387" s="46"/>
      <c r="Z387" s="46"/>
      <c r="AA387" s="46"/>
      <c r="AD387" s="46"/>
    </row>
    <row r="388" spans="1:30">
      <c r="A388">
        <v>2484</v>
      </c>
      <c r="B388" t="s">
        <v>925</v>
      </c>
      <c r="C388">
        <v>18.350000000000001</v>
      </c>
      <c r="Y388" s="46"/>
      <c r="Z388" s="46"/>
      <c r="AA388" s="46"/>
      <c r="AD388" s="46"/>
    </row>
    <row r="389" spans="1:30">
      <c r="A389">
        <v>2485</v>
      </c>
      <c r="B389" t="s">
        <v>926</v>
      </c>
      <c r="C389">
        <v>49.65</v>
      </c>
      <c r="Y389" s="46"/>
      <c r="Z389" s="46"/>
      <c r="AD389" s="46"/>
    </row>
    <row r="390" spans="1:30">
      <c r="A390">
        <v>2486</v>
      </c>
      <c r="B390" t="s">
        <v>927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928</v>
      </c>
      <c r="C391">
        <v>23.75</v>
      </c>
      <c r="Y391" s="46"/>
      <c r="Z391" s="46"/>
      <c r="AD391" s="46"/>
    </row>
    <row r="392" spans="1:30">
      <c r="A392">
        <v>2489</v>
      </c>
      <c r="B392" t="s">
        <v>929</v>
      </c>
      <c r="C392">
        <v>15.85</v>
      </c>
      <c r="Y392" s="46"/>
      <c r="Z392" s="46"/>
      <c r="AA392" s="46"/>
      <c r="AD392" s="46"/>
    </row>
    <row r="393" spans="1:30">
      <c r="A393">
        <v>2491</v>
      </c>
      <c r="B393" t="s">
        <v>930</v>
      </c>
      <c r="C393">
        <v>6.65</v>
      </c>
      <c r="Y393" s="46"/>
      <c r="Z393" s="46"/>
      <c r="AA393" s="46"/>
      <c r="AD393" s="46"/>
    </row>
    <row r="394" spans="1:30">
      <c r="A394">
        <v>2492</v>
      </c>
      <c r="B394" t="s">
        <v>931</v>
      </c>
      <c r="C394">
        <v>19.850000000000001</v>
      </c>
      <c r="Y394" s="46"/>
      <c r="Z394" s="46"/>
      <c r="AA394" s="46"/>
      <c r="AD394" s="46"/>
    </row>
    <row r="395" spans="1:30">
      <c r="A395">
        <v>2493</v>
      </c>
      <c r="B395" t="s">
        <v>932</v>
      </c>
      <c r="C395">
        <v>21.35</v>
      </c>
      <c r="Y395" s="46"/>
      <c r="Z395" s="46"/>
      <c r="AA395" s="46"/>
      <c r="AD395" s="46"/>
    </row>
    <row r="396" spans="1:30">
      <c r="A396">
        <v>2495</v>
      </c>
      <c r="B396" t="s">
        <v>933</v>
      </c>
      <c r="C396">
        <v>17.8</v>
      </c>
      <c r="Y396" s="46"/>
      <c r="Z396" s="46"/>
      <c r="AA396" s="46"/>
      <c r="AD396" s="46"/>
    </row>
    <row r="397" spans="1:30">
      <c r="A397">
        <v>2496</v>
      </c>
      <c r="B397" t="s">
        <v>934</v>
      </c>
      <c r="C397">
        <v>13.9</v>
      </c>
      <c r="Y397" s="46"/>
      <c r="Z397" s="46"/>
      <c r="AA397" s="46"/>
      <c r="AD397" s="46"/>
    </row>
    <row r="398" spans="1:30">
      <c r="A398">
        <v>2497</v>
      </c>
      <c r="B398" t="s">
        <v>935</v>
      </c>
      <c r="C398">
        <v>36.15</v>
      </c>
      <c r="Y398" s="46"/>
      <c r="Z398" s="46"/>
      <c r="AA398" s="46"/>
      <c r="AD398" s="46"/>
    </row>
    <row r="399" spans="1:30">
      <c r="A399">
        <v>2498</v>
      </c>
      <c r="B399" t="s">
        <v>936</v>
      </c>
      <c r="C399">
        <v>79</v>
      </c>
      <c r="Y399" s="46"/>
      <c r="Z399" s="46"/>
      <c r="AA399" s="46"/>
      <c r="AD399" s="46"/>
    </row>
    <row r="400" spans="1:30">
      <c r="A400">
        <v>2499</v>
      </c>
      <c r="B400" t="s">
        <v>937</v>
      </c>
      <c r="C400">
        <v>19.600000000000001</v>
      </c>
      <c r="Y400" s="46"/>
      <c r="Z400" s="46"/>
      <c r="AA400" s="46"/>
      <c r="AD400" s="46"/>
    </row>
    <row r="401" spans="1:30">
      <c r="A401">
        <v>2501</v>
      </c>
      <c r="B401" t="s">
        <v>938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939</v>
      </c>
      <c r="C402">
        <v>9</v>
      </c>
      <c r="Y402" s="46"/>
      <c r="Z402" s="46"/>
      <c r="AA402" s="46"/>
      <c r="AD402" s="46"/>
    </row>
    <row r="403" spans="1:30">
      <c r="A403">
        <v>2505</v>
      </c>
      <c r="B403" t="s">
        <v>940</v>
      </c>
      <c r="C403">
        <v>10.75</v>
      </c>
      <c r="Y403" s="46"/>
      <c r="Z403" s="46"/>
      <c r="AA403" s="46"/>
      <c r="AD403" s="46"/>
    </row>
    <row r="404" spans="1:30">
      <c r="A404">
        <v>2506</v>
      </c>
      <c r="B404" t="s">
        <v>941</v>
      </c>
      <c r="C404">
        <v>15.85</v>
      </c>
      <c r="Y404" s="46"/>
      <c r="Z404" s="46"/>
      <c r="AA404" s="46"/>
      <c r="AD404" s="46"/>
    </row>
    <row r="405" spans="1:30">
      <c r="A405">
        <v>2509</v>
      </c>
      <c r="B405" t="s">
        <v>942</v>
      </c>
      <c r="C405">
        <v>22.4</v>
      </c>
      <c r="Y405" s="46"/>
      <c r="Z405" s="46"/>
      <c r="AD405" s="46"/>
    </row>
    <row r="406" spans="1:30">
      <c r="A406">
        <v>2511</v>
      </c>
      <c r="B406" t="s">
        <v>943</v>
      </c>
      <c r="C406">
        <v>9.0500000000000007</v>
      </c>
      <c r="Y406" s="46"/>
      <c r="Z406" s="46"/>
      <c r="AA406" s="46"/>
      <c r="AD406" s="46"/>
    </row>
    <row r="407" spans="1:30">
      <c r="A407">
        <v>2514</v>
      </c>
      <c r="B407" t="s">
        <v>944</v>
      </c>
      <c r="C407">
        <v>20.7</v>
      </c>
      <c r="Y407" s="46"/>
      <c r="Z407" s="46"/>
      <c r="AA407" s="46"/>
      <c r="AD407" s="46"/>
    </row>
    <row r="408" spans="1:30">
      <c r="A408">
        <v>2515</v>
      </c>
      <c r="B408" t="s">
        <v>945</v>
      </c>
      <c r="C408">
        <v>7.01</v>
      </c>
      <c r="Y408" s="46"/>
      <c r="Z408" s="46"/>
      <c r="AD408" s="46"/>
    </row>
    <row r="409" spans="1:30">
      <c r="A409">
        <v>2516</v>
      </c>
      <c r="B409" t="s">
        <v>946</v>
      </c>
      <c r="C409">
        <v>6.6</v>
      </c>
      <c r="Y409" s="46"/>
      <c r="Z409" s="46"/>
      <c r="AD409" s="46"/>
    </row>
    <row r="410" spans="1:30">
      <c r="A410">
        <v>2520</v>
      </c>
      <c r="B410" t="s">
        <v>947</v>
      </c>
      <c r="C410">
        <v>15.5</v>
      </c>
      <c r="Y410" s="46"/>
      <c r="Z410" s="46"/>
      <c r="AA410" s="46"/>
      <c r="AD410" s="46"/>
    </row>
    <row r="411" spans="1:30">
      <c r="A411">
        <v>2524</v>
      </c>
      <c r="B411" t="s">
        <v>948</v>
      </c>
      <c r="C411">
        <v>18.7</v>
      </c>
      <c r="Y411" s="46"/>
      <c r="Z411" s="46"/>
      <c r="AA411" s="46"/>
      <c r="AD411" s="46"/>
    </row>
    <row r="412" spans="1:30">
      <c r="A412">
        <v>2527</v>
      </c>
      <c r="B412" t="s">
        <v>949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950</v>
      </c>
      <c r="C413">
        <v>8.6</v>
      </c>
      <c r="Y413" s="46"/>
      <c r="Z413" s="46"/>
      <c r="AA413" s="46"/>
      <c r="AD413" s="46"/>
    </row>
    <row r="414" spans="1:30">
      <c r="A414">
        <v>2530</v>
      </c>
      <c r="B414" t="s">
        <v>951</v>
      </c>
      <c r="C414">
        <v>15.95</v>
      </c>
      <c r="Y414" s="46"/>
      <c r="Z414" s="46"/>
      <c r="AD414" s="46"/>
    </row>
    <row r="415" spans="1:30">
      <c r="A415">
        <v>2534</v>
      </c>
      <c r="B415" t="s">
        <v>952</v>
      </c>
      <c r="C415">
        <v>18.7</v>
      </c>
      <c r="Y415" s="46"/>
      <c r="Z415" s="46"/>
      <c r="AA415" s="46"/>
      <c r="AD415" s="46"/>
    </row>
    <row r="416" spans="1:30">
      <c r="A416">
        <v>2535</v>
      </c>
      <c r="B416" t="s">
        <v>953</v>
      </c>
      <c r="C416">
        <v>14.15</v>
      </c>
      <c r="Y416" s="46"/>
      <c r="Z416" s="46"/>
      <c r="AA416" s="46"/>
      <c r="AD416" s="46"/>
    </row>
    <row r="417" spans="1:30">
      <c r="A417">
        <v>2536</v>
      </c>
      <c r="B417" t="s">
        <v>954</v>
      </c>
      <c r="C417">
        <v>20.65</v>
      </c>
      <c r="Y417" s="46"/>
      <c r="Z417" s="46"/>
      <c r="AD417" s="46"/>
    </row>
    <row r="418" spans="1:30">
      <c r="A418">
        <v>2537</v>
      </c>
      <c r="B418" t="s">
        <v>955</v>
      </c>
      <c r="C418">
        <v>8.6</v>
      </c>
      <c r="Y418" s="46"/>
      <c r="Z418" s="46"/>
      <c r="AA418" s="46"/>
      <c r="AD418" s="46"/>
    </row>
    <row r="419" spans="1:30">
      <c r="A419">
        <v>2538</v>
      </c>
      <c r="B419" t="s">
        <v>956</v>
      </c>
      <c r="C419">
        <v>14.75</v>
      </c>
      <c r="Y419" s="46"/>
      <c r="Z419" s="46"/>
      <c r="AD419" s="46"/>
    </row>
    <row r="420" spans="1:30">
      <c r="A420">
        <v>2539</v>
      </c>
      <c r="B420" t="s">
        <v>957</v>
      </c>
      <c r="C420">
        <v>24.75</v>
      </c>
      <c r="Y420" s="46"/>
      <c r="Z420" s="46"/>
      <c r="AA420" s="46"/>
      <c r="AD420" s="46"/>
    </row>
    <row r="421" spans="1:30">
      <c r="A421">
        <v>2540</v>
      </c>
      <c r="B421" t="s">
        <v>958</v>
      </c>
      <c r="C421">
        <v>33.65</v>
      </c>
      <c r="Y421" s="46"/>
      <c r="Z421" s="46"/>
      <c r="AA421" s="46"/>
      <c r="AD421" s="46"/>
    </row>
    <row r="422" spans="1:30">
      <c r="A422">
        <v>2542</v>
      </c>
      <c r="B422" t="s">
        <v>959</v>
      </c>
      <c r="C422">
        <v>36.5</v>
      </c>
      <c r="Y422" s="46"/>
      <c r="Z422" s="46"/>
      <c r="AA422" s="46"/>
      <c r="AD422" s="46"/>
    </row>
    <row r="423" spans="1:30">
      <c r="A423">
        <v>2543</v>
      </c>
      <c r="B423" t="s">
        <v>960</v>
      </c>
      <c r="C423">
        <v>8.25</v>
      </c>
      <c r="Y423" s="46"/>
      <c r="Z423" s="46"/>
      <c r="AA423" s="46"/>
      <c r="AD423" s="46"/>
    </row>
    <row r="424" spans="1:30">
      <c r="A424">
        <v>2545</v>
      </c>
      <c r="B424" t="s">
        <v>961</v>
      </c>
      <c r="C424">
        <v>24</v>
      </c>
      <c r="Y424" s="46"/>
      <c r="Z424" s="46"/>
      <c r="AA424" s="46"/>
      <c r="AD424" s="46"/>
    </row>
    <row r="425" spans="1:30">
      <c r="A425">
        <v>2546</v>
      </c>
      <c r="B425" t="s">
        <v>962</v>
      </c>
      <c r="C425">
        <v>14.9</v>
      </c>
      <c r="Y425" s="46"/>
      <c r="Z425" s="46"/>
      <c r="AA425" s="46"/>
      <c r="AD425" s="46"/>
    </row>
    <row r="426" spans="1:30">
      <c r="A426">
        <v>2547</v>
      </c>
      <c r="B426" t="s">
        <v>963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964</v>
      </c>
      <c r="C427">
        <v>56.8</v>
      </c>
      <c r="Y427" s="46"/>
      <c r="Z427" s="46"/>
      <c r="AA427" s="46"/>
      <c r="AD427" s="46"/>
    </row>
    <row r="428" spans="1:30">
      <c r="A428">
        <v>2597</v>
      </c>
      <c r="B428" t="s">
        <v>965</v>
      </c>
      <c r="C428">
        <v>40.299999999999997</v>
      </c>
      <c r="Y428" s="46"/>
      <c r="Z428" s="46"/>
      <c r="AA428" s="46"/>
      <c r="AD428" s="46"/>
    </row>
    <row r="429" spans="1:30">
      <c r="A429">
        <v>2601</v>
      </c>
      <c r="B429" t="s">
        <v>966</v>
      </c>
      <c r="C429">
        <v>9.7200000000000006</v>
      </c>
      <c r="Y429" s="46"/>
      <c r="Z429" s="46"/>
      <c r="AA429" s="46"/>
      <c r="AD429" s="46"/>
    </row>
    <row r="430" spans="1:30">
      <c r="A430">
        <v>2603</v>
      </c>
      <c r="B430" t="s">
        <v>967</v>
      </c>
      <c r="C430">
        <v>13.3</v>
      </c>
      <c r="Y430" s="46"/>
      <c r="Z430" s="46"/>
      <c r="AA430" s="46"/>
      <c r="AD430" s="46"/>
    </row>
    <row r="431" spans="1:30">
      <c r="A431">
        <v>2605</v>
      </c>
      <c r="B431" t="s">
        <v>968</v>
      </c>
      <c r="C431">
        <v>19.600000000000001</v>
      </c>
      <c r="Y431" s="46"/>
      <c r="Z431" s="46"/>
      <c r="AA431" s="46"/>
      <c r="AD431" s="46"/>
    </row>
    <row r="432" spans="1:30">
      <c r="A432">
        <v>2606</v>
      </c>
      <c r="B432" t="s">
        <v>969</v>
      </c>
      <c r="C432">
        <v>27.25</v>
      </c>
      <c r="Y432" s="46"/>
      <c r="Z432" s="46"/>
      <c r="AA432" s="46"/>
      <c r="AD432" s="46"/>
    </row>
    <row r="433" spans="1:30">
      <c r="A433">
        <v>2607</v>
      </c>
      <c r="B433" t="s">
        <v>970</v>
      </c>
      <c r="C433">
        <v>13.8</v>
      </c>
      <c r="Y433" s="46"/>
      <c r="Z433" s="46"/>
      <c r="AA433" s="46"/>
      <c r="AD433" s="46"/>
    </row>
    <row r="434" spans="1:30">
      <c r="A434">
        <v>2608</v>
      </c>
      <c r="B434" t="s">
        <v>971</v>
      </c>
      <c r="C434">
        <v>38.25</v>
      </c>
      <c r="Y434" s="46"/>
      <c r="Z434" s="46"/>
      <c r="AA434" s="46"/>
      <c r="AD434" s="46"/>
    </row>
    <row r="435" spans="1:30">
      <c r="A435">
        <v>2609</v>
      </c>
      <c r="B435" t="s">
        <v>972</v>
      </c>
      <c r="C435">
        <v>8.77</v>
      </c>
      <c r="Y435" s="46"/>
      <c r="Z435" s="46"/>
      <c r="AA435" s="46"/>
      <c r="AD435" s="46"/>
    </row>
    <row r="436" spans="1:30">
      <c r="A436">
        <v>2610</v>
      </c>
      <c r="B436" t="s">
        <v>973</v>
      </c>
      <c r="C436">
        <v>12</v>
      </c>
      <c r="M436" s="46"/>
      <c r="O436" s="46"/>
      <c r="Y436" s="46"/>
      <c r="Z436" s="46"/>
      <c r="AA436" s="46"/>
      <c r="AD436" s="46"/>
    </row>
    <row r="437" spans="1:30">
      <c r="A437">
        <v>2611</v>
      </c>
      <c r="B437" t="s">
        <v>974</v>
      </c>
      <c r="C437">
        <v>7.85</v>
      </c>
      <c r="Y437" s="46"/>
      <c r="Z437" s="46"/>
      <c r="AA437" s="46"/>
      <c r="AD437" s="46"/>
    </row>
    <row r="438" spans="1:30">
      <c r="A438">
        <v>2612</v>
      </c>
      <c r="B438" t="s">
        <v>975</v>
      </c>
      <c r="C438">
        <v>21.3</v>
      </c>
      <c r="Y438" s="46"/>
      <c r="Z438" s="46"/>
      <c r="AA438" s="46"/>
      <c r="AD438" s="46"/>
    </row>
    <row r="439" spans="1:30">
      <c r="A439">
        <v>2613</v>
      </c>
      <c r="B439" t="s">
        <v>976</v>
      </c>
      <c r="C439">
        <v>13.35</v>
      </c>
      <c r="Y439" s="46"/>
      <c r="Z439" s="46"/>
      <c r="AA439" s="46"/>
      <c r="AD439" s="46"/>
    </row>
    <row r="440" spans="1:30">
      <c r="A440">
        <v>2614</v>
      </c>
      <c r="B440" t="s">
        <v>977</v>
      </c>
      <c r="C440">
        <v>6.87</v>
      </c>
      <c r="Y440" s="46"/>
      <c r="Z440" s="46"/>
      <c r="AD440" s="46"/>
    </row>
    <row r="441" spans="1:30">
      <c r="A441">
        <v>2615</v>
      </c>
      <c r="B441" t="s">
        <v>978</v>
      </c>
      <c r="C441">
        <v>18.399999999999999</v>
      </c>
      <c r="Y441" s="46"/>
      <c r="Z441" s="46"/>
      <c r="AA441" s="46"/>
      <c r="AD441" s="46"/>
    </row>
    <row r="442" spans="1:30">
      <c r="A442">
        <v>2616</v>
      </c>
      <c r="B442" t="s">
        <v>979</v>
      </c>
      <c r="C442">
        <v>22.7</v>
      </c>
      <c r="Y442" s="46"/>
      <c r="Z442" s="46"/>
      <c r="AD442" s="46"/>
    </row>
    <row r="443" spans="1:30">
      <c r="A443">
        <v>2617</v>
      </c>
      <c r="B443" t="s">
        <v>980</v>
      </c>
      <c r="C443">
        <v>13.45</v>
      </c>
      <c r="Y443" s="46"/>
      <c r="Z443" s="46"/>
      <c r="AD443" s="46"/>
    </row>
    <row r="444" spans="1:30">
      <c r="A444">
        <v>2618</v>
      </c>
      <c r="B444" t="s">
        <v>981</v>
      </c>
      <c r="C444">
        <v>18.649999999999999</v>
      </c>
      <c r="M444" s="46"/>
      <c r="Y444" s="46"/>
      <c r="Z444" s="46"/>
      <c r="AD444" s="46"/>
    </row>
    <row r="445" spans="1:30">
      <c r="A445">
        <v>2634</v>
      </c>
      <c r="B445" t="s">
        <v>982</v>
      </c>
      <c r="C445">
        <v>40.1</v>
      </c>
      <c r="Y445" s="46"/>
      <c r="Z445" s="46"/>
      <c r="AD445" s="46"/>
    </row>
    <row r="446" spans="1:30">
      <c r="A446">
        <v>2637</v>
      </c>
      <c r="B446" t="s">
        <v>983</v>
      </c>
      <c r="C446">
        <v>36.299999999999997</v>
      </c>
      <c r="Y446" s="46"/>
      <c r="Z446" s="46"/>
      <c r="AD446" s="46"/>
    </row>
    <row r="447" spans="1:30">
      <c r="A447">
        <v>2642</v>
      </c>
      <c r="B447" t="s">
        <v>984</v>
      </c>
      <c r="C447">
        <v>29.1</v>
      </c>
      <c r="Y447" s="46"/>
      <c r="Z447" s="46"/>
      <c r="AD447" s="46"/>
    </row>
    <row r="448" spans="1:30">
      <c r="A448">
        <v>2701</v>
      </c>
      <c r="B448" t="s">
        <v>985</v>
      </c>
      <c r="C448">
        <v>14.15</v>
      </c>
      <c r="Y448" s="46"/>
      <c r="Z448" s="46"/>
      <c r="AD448" s="46"/>
    </row>
    <row r="449" spans="1:30">
      <c r="A449">
        <v>2702</v>
      </c>
      <c r="B449" t="s">
        <v>986</v>
      </c>
      <c r="C449">
        <v>15.7</v>
      </c>
      <c r="Y449" s="46"/>
      <c r="Z449" s="46"/>
      <c r="AD449" s="46"/>
    </row>
    <row r="450" spans="1:30">
      <c r="A450">
        <v>2704</v>
      </c>
      <c r="B450" t="s">
        <v>987</v>
      </c>
      <c r="C450">
        <v>27.15</v>
      </c>
      <c r="Y450" s="46"/>
      <c r="Z450" s="46"/>
      <c r="AD450" s="46"/>
    </row>
    <row r="451" spans="1:30">
      <c r="A451">
        <v>2705</v>
      </c>
      <c r="B451" t="s">
        <v>988</v>
      </c>
      <c r="C451">
        <v>11.3</v>
      </c>
      <c r="Y451" s="46"/>
      <c r="Z451" s="46"/>
      <c r="AD451" s="46"/>
    </row>
    <row r="452" spans="1:30">
      <c r="A452">
        <v>2706</v>
      </c>
      <c r="B452" t="s">
        <v>989</v>
      </c>
      <c r="C452">
        <v>18.75</v>
      </c>
      <c r="Y452" s="46"/>
      <c r="Z452" s="46"/>
      <c r="AA452" s="46"/>
      <c r="AD452" s="46"/>
    </row>
    <row r="453" spans="1:30">
      <c r="A453">
        <v>2707</v>
      </c>
      <c r="B453" t="s">
        <v>990</v>
      </c>
      <c r="C453">
        <v>225.5</v>
      </c>
      <c r="Y453" s="46"/>
      <c r="Z453" s="46"/>
      <c r="AD453" s="46"/>
    </row>
    <row r="454" spans="1:30">
      <c r="A454">
        <v>2712</v>
      </c>
      <c r="B454" t="s">
        <v>991</v>
      </c>
      <c r="C454">
        <v>24.25</v>
      </c>
      <c r="Y454" s="46"/>
      <c r="Z454" s="46"/>
      <c r="AD454" s="46"/>
    </row>
    <row r="455" spans="1:30">
      <c r="A455">
        <v>2722</v>
      </c>
      <c r="B455" t="s">
        <v>992</v>
      </c>
      <c r="C455">
        <v>44.95</v>
      </c>
      <c r="Y455" s="46"/>
      <c r="Z455" s="46"/>
      <c r="AD455" s="46"/>
    </row>
    <row r="456" spans="1:30">
      <c r="A456">
        <v>2723</v>
      </c>
      <c r="B456" t="s">
        <v>993</v>
      </c>
      <c r="C456">
        <v>235</v>
      </c>
      <c r="Y456" s="46"/>
      <c r="Z456" s="46"/>
      <c r="AD456" s="46"/>
    </row>
    <row r="457" spans="1:30">
      <c r="A457">
        <v>2727</v>
      </c>
      <c r="B457" t="s">
        <v>994</v>
      </c>
      <c r="C457">
        <v>159.5</v>
      </c>
      <c r="Y457" s="46"/>
      <c r="Z457" s="46"/>
      <c r="AD457" s="46"/>
    </row>
    <row r="458" spans="1:30">
      <c r="A458">
        <v>2731</v>
      </c>
      <c r="B458" t="s">
        <v>995</v>
      </c>
      <c r="C458">
        <v>119.5</v>
      </c>
      <c r="Y458" s="46"/>
      <c r="Z458" s="46"/>
      <c r="AD458" s="46"/>
    </row>
    <row r="459" spans="1:30">
      <c r="A459">
        <v>2801</v>
      </c>
      <c r="B459" t="s">
        <v>996</v>
      </c>
      <c r="C459">
        <v>15.8</v>
      </c>
      <c r="Y459" s="46"/>
      <c r="Z459" s="46"/>
      <c r="AD459" s="46"/>
    </row>
    <row r="460" spans="1:30">
      <c r="A460">
        <v>2809</v>
      </c>
      <c r="B460" t="s">
        <v>997</v>
      </c>
      <c r="C460">
        <v>23.2</v>
      </c>
      <c r="Y460" s="46"/>
      <c r="Z460" s="46"/>
      <c r="AD460" s="46"/>
    </row>
    <row r="461" spans="1:30">
      <c r="A461">
        <v>2812</v>
      </c>
      <c r="B461" t="s">
        <v>998</v>
      </c>
      <c r="C461">
        <v>9.3800000000000008</v>
      </c>
      <c r="Y461" s="46"/>
      <c r="Z461" s="46"/>
      <c r="AD461" s="46"/>
    </row>
    <row r="462" spans="1:30">
      <c r="A462">
        <v>2816</v>
      </c>
      <c r="B462" t="s">
        <v>999</v>
      </c>
      <c r="C462">
        <v>15.2</v>
      </c>
      <c r="Y462" s="46"/>
      <c r="Z462" s="46"/>
      <c r="AD462" s="46"/>
    </row>
    <row r="463" spans="1:30">
      <c r="A463">
        <v>2820</v>
      </c>
      <c r="B463" t="s">
        <v>1000</v>
      </c>
      <c r="C463">
        <v>11.5</v>
      </c>
      <c r="Y463" s="46"/>
      <c r="Z463" s="46"/>
      <c r="AD463" s="46"/>
    </row>
    <row r="464" spans="1:30">
      <c r="A464">
        <v>2823</v>
      </c>
      <c r="B464" t="s">
        <v>1001</v>
      </c>
      <c r="C464">
        <v>26.4</v>
      </c>
      <c r="Y464" s="46"/>
      <c r="Z464" s="46"/>
      <c r="AA464" s="46"/>
      <c r="AD464" s="46"/>
    </row>
    <row r="465" spans="1:30">
      <c r="A465">
        <v>2832</v>
      </c>
      <c r="B465" t="s">
        <v>1002</v>
      </c>
      <c r="C465">
        <v>21.4</v>
      </c>
      <c r="Y465" s="46"/>
      <c r="Z465" s="46"/>
      <c r="AD465" s="46"/>
    </row>
    <row r="466" spans="1:30">
      <c r="A466">
        <v>2834</v>
      </c>
      <c r="B466" t="s">
        <v>1003</v>
      </c>
      <c r="C466">
        <v>8.23</v>
      </c>
      <c r="Y466" s="46"/>
      <c r="Z466" s="46"/>
      <c r="AD466" s="46"/>
    </row>
    <row r="467" spans="1:30">
      <c r="A467">
        <v>2836</v>
      </c>
      <c r="B467" t="s">
        <v>1004</v>
      </c>
      <c r="C467">
        <v>8.85</v>
      </c>
      <c r="Y467" s="46"/>
      <c r="Z467" s="46"/>
      <c r="AD467" s="46"/>
    </row>
    <row r="468" spans="1:30">
      <c r="A468">
        <v>2838</v>
      </c>
      <c r="B468" t="s">
        <v>1005</v>
      </c>
      <c r="C468">
        <v>9.34</v>
      </c>
      <c r="Y468" s="46"/>
      <c r="Z468" s="46"/>
      <c r="AA468" s="46"/>
      <c r="AD468" s="46"/>
    </row>
    <row r="469" spans="1:30">
      <c r="A469">
        <v>2841</v>
      </c>
      <c r="B469" t="s">
        <v>1006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1007</v>
      </c>
      <c r="C470">
        <v>9.84</v>
      </c>
      <c r="Y470" s="46"/>
      <c r="Z470" s="46"/>
      <c r="AD470" s="46"/>
    </row>
    <row r="471" spans="1:30">
      <c r="A471">
        <v>2847</v>
      </c>
      <c r="B471" t="s">
        <v>1008</v>
      </c>
      <c r="C471">
        <v>13.45</v>
      </c>
      <c r="Y471" s="46"/>
      <c r="Z471" s="46"/>
      <c r="AA471" s="46"/>
      <c r="AD471" s="46"/>
    </row>
    <row r="472" spans="1:30">
      <c r="A472">
        <v>2849</v>
      </c>
      <c r="B472" t="s">
        <v>1009</v>
      </c>
      <c r="C472">
        <v>19.100000000000001</v>
      </c>
      <c r="Y472" s="46"/>
      <c r="Z472" s="46"/>
      <c r="AA472" s="46"/>
      <c r="AD472" s="46"/>
    </row>
    <row r="473" spans="1:30">
      <c r="A473">
        <v>2850</v>
      </c>
      <c r="B473" t="s">
        <v>1010</v>
      </c>
      <c r="C473">
        <v>22.95</v>
      </c>
      <c r="Y473" s="46"/>
      <c r="Z473" s="46"/>
      <c r="AA473" s="46"/>
      <c r="AD473" s="46"/>
    </row>
    <row r="474" spans="1:30">
      <c r="A474">
        <v>2851</v>
      </c>
      <c r="B474" t="s">
        <v>1011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1012</v>
      </c>
      <c r="C475">
        <v>11.55</v>
      </c>
      <c r="Y475" s="46"/>
      <c r="Z475" s="46"/>
      <c r="AA475" s="46"/>
      <c r="AD475" s="46"/>
    </row>
    <row r="476" spans="1:30">
      <c r="A476">
        <v>2855</v>
      </c>
      <c r="B476" t="s">
        <v>1013</v>
      </c>
      <c r="C476">
        <v>13.3</v>
      </c>
      <c r="Y476" s="46"/>
      <c r="Z476" s="46"/>
      <c r="AD476" s="46"/>
    </row>
    <row r="477" spans="1:30">
      <c r="A477">
        <v>2856</v>
      </c>
      <c r="B477" t="s">
        <v>1014</v>
      </c>
      <c r="C477">
        <v>9.3800000000000008</v>
      </c>
      <c r="Y477" s="46"/>
      <c r="Z477" s="46"/>
      <c r="AA477" s="46"/>
      <c r="AD477" s="46"/>
    </row>
    <row r="478" spans="1:30">
      <c r="A478">
        <v>2867</v>
      </c>
      <c r="B478" t="s">
        <v>1015</v>
      </c>
      <c r="C478">
        <v>18.2</v>
      </c>
      <c r="Y478" s="46"/>
      <c r="Z478" s="46"/>
      <c r="AD478" s="46"/>
    </row>
    <row r="479" spans="1:30">
      <c r="A479">
        <v>2880</v>
      </c>
      <c r="B479" t="s">
        <v>1016</v>
      </c>
      <c r="C479">
        <v>15.45</v>
      </c>
      <c r="Y479" s="46"/>
      <c r="Z479" s="46"/>
      <c r="AA479" s="46"/>
      <c r="AD479" s="46"/>
    </row>
    <row r="480" spans="1:30">
      <c r="A480">
        <v>2881</v>
      </c>
      <c r="B480" t="s">
        <v>1017</v>
      </c>
      <c r="C480">
        <v>47.05</v>
      </c>
      <c r="O480" s="46"/>
      <c r="Y480" s="46"/>
      <c r="Z480" s="46"/>
      <c r="AD480" s="46"/>
    </row>
    <row r="481" spans="1:30">
      <c r="A481">
        <v>2882</v>
      </c>
      <c r="B481" t="s">
        <v>1018</v>
      </c>
      <c r="C481">
        <v>44</v>
      </c>
      <c r="Y481" s="46"/>
      <c r="Z481" s="46"/>
      <c r="AA481" s="46"/>
      <c r="AD481" s="46"/>
    </row>
    <row r="482" spans="1:30">
      <c r="A482">
        <v>2883</v>
      </c>
      <c r="B482" t="s">
        <v>1019</v>
      </c>
      <c r="C482">
        <v>8.32</v>
      </c>
      <c r="Y482" s="46"/>
      <c r="Z482" s="46"/>
      <c r="AA482" s="46"/>
      <c r="AD482" s="46"/>
    </row>
    <row r="483" spans="1:30">
      <c r="A483">
        <v>2884</v>
      </c>
      <c r="B483" t="s">
        <v>1020</v>
      </c>
      <c r="C483">
        <v>19.3</v>
      </c>
      <c r="Y483" s="46"/>
      <c r="Z483" s="46"/>
      <c r="AD483" s="46"/>
    </row>
    <row r="484" spans="1:30">
      <c r="A484">
        <v>2885</v>
      </c>
      <c r="B484" t="s">
        <v>1021</v>
      </c>
      <c r="C484">
        <v>12.2</v>
      </c>
      <c r="M484" s="46"/>
      <c r="Y484" s="46"/>
      <c r="Z484" s="46"/>
      <c r="AD484" s="46"/>
    </row>
    <row r="485" spans="1:30">
      <c r="A485">
        <v>2886</v>
      </c>
      <c r="B485" t="s">
        <v>1022</v>
      </c>
      <c r="C485">
        <v>21.55</v>
      </c>
      <c r="O485" s="46"/>
      <c r="Y485" s="46"/>
      <c r="Z485" s="46"/>
      <c r="AA485" s="46"/>
      <c r="AD485" s="46"/>
    </row>
    <row r="486" spans="1:30">
      <c r="A486">
        <v>2887</v>
      </c>
      <c r="B486" t="s">
        <v>1023</v>
      </c>
      <c r="C486">
        <v>11.65</v>
      </c>
      <c r="Y486" s="46"/>
      <c r="Z486" s="46"/>
      <c r="AD486" s="46"/>
    </row>
    <row r="487" spans="1:30">
      <c r="A487">
        <v>2888</v>
      </c>
      <c r="B487" t="s">
        <v>1024</v>
      </c>
      <c r="C487">
        <v>7.12</v>
      </c>
      <c r="Y487" s="46"/>
      <c r="Z487" s="46"/>
      <c r="AD487" s="46"/>
    </row>
    <row r="488" spans="1:30">
      <c r="A488">
        <v>2889</v>
      </c>
      <c r="B488" t="s">
        <v>1025</v>
      </c>
      <c r="C488">
        <v>7.35</v>
      </c>
      <c r="Y488" s="46"/>
      <c r="Z488" s="46"/>
      <c r="AD488" s="46"/>
    </row>
    <row r="489" spans="1:30">
      <c r="A489">
        <v>2890</v>
      </c>
      <c r="B489" t="s">
        <v>1026</v>
      </c>
      <c r="C489">
        <v>9.52</v>
      </c>
      <c r="Y489" s="46"/>
      <c r="Z489" s="46"/>
      <c r="AD489" s="46"/>
    </row>
    <row r="490" spans="1:30">
      <c r="A490">
        <v>2891</v>
      </c>
      <c r="B490" t="s">
        <v>1027</v>
      </c>
      <c r="C490">
        <v>16.8</v>
      </c>
      <c r="Y490" s="46"/>
      <c r="Z490" s="46"/>
      <c r="AD490" s="46"/>
    </row>
    <row r="491" spans="1:30">
      <c r="A491" t="s">
        <v>1028</v>
      </c>
      <c r="B491" t="s">
        <v>1029</v>
      </c>
      <c r="C491">
        <v>36.15</v>
      </c>
      <c r="Y491" s="46"/>
      <c r="Z491" s="46"/>
      <c r="AA491" s="46"/>
      <c r="AD491" s="46"/>
    </row>
    <row r="492" spans="1:30">
      <c r="A492">
        <v>2892</v>
      </c>
      <c r="B492" t="s">
        <v>1030</v>
      </c>
      <c r="C492">
        <v>15.35</v>
      </c>
      <c r="Y492" s="46"/>
      <c r="Z492" s="46"/>
      <c r="AD492" s="46"/>
    </row>
    <row r="493" spans="1:30">
      <c r="A493">
        <v>2901</v>
      </c>
      <c r="B493" t="s">
        <v>1031</v>
      </c>
      <c r="C493">
        <v>27.45</v>
      </c>
      <c r="Y493" s="46"/>
      <c r="Z493" s="46"/>
      <c r="AA493" s="46"/>
      <c r="AD493" s="46"/>
    </row>
    <row r="494" spans="1:30">
      <c r="A494">
        <v>2903</v>
      </c>
      <c r="B494" t="s">
        <v>1032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1033</v>
      </c>
      <c r="C495">
        <v>25.75</v>
      </c>
      <c r="Y495" s="46"/>
      <c r="Z495" s="46"/>
      <c r="AA495" s="46"/>
      <c r="AD495" s="46"/>
    </row>
    <row r="496" spans="1:30">
      <c r="A496">
        <v>2905</v>
      </c>
      <c r="B496" t="s">
        <v>1034</v>
      </c>
      <c r="C496">
        <v>21.15</v>
      </c>
      <c r="Y496" s="46"/>
      <c r="Z496" s="46"/>
      <c r="AA496" s="46"/>
      <c r="AD496" s="46"/>
    </row>
    <row r="497" spans="1:30">
      <c r="A497">
        <v>2906</v>
      </c>
      <c r="B497" t="s">
        <v>1035</v>
      </c>
      <c r="C497">
        <v>12</v>
      </c>
      <c r="Y497" s="46"/>
      <c r="Z497" s="46"/>
      <c r="AA497" s="46"/>
      <c r="AD497" s="46"/>
    </row>
    <row r="498" spans="1:30">
      <c r="A498">
        <v>2908</v>
      </c>
      <c r="B498" t="s">
        <v>1036</v>
      </c>
      <c r="C498">
        <v>20.149999999999999</v>
      </c>
      <c r="Y498" s="46"/>
      <c r="Z498" s="46"/>
      <c r="AA498" s="46"/>
      <c r="AD498" s="46"/>
    </row>
    <row r="499" spans="1:30">
      <c r="A499">
        <v>2910</v>
      </c>
      <c r="B499" t="s">
        <v>1037</v>
      </c>
      <c r="C499" t="s">
        <v>1901</v>
      </c>
      <c r="Y499" s="46"/>
      <c r="Z499" s="46"/>
      <c r="AD499" s="46"/>
    </row>
    <row r="500" spans="1:30">
      <c r="A500">
        <v>2911</v>
      </c>
      <c r="B500" t="s">
        <v>1038</v>
      </c>
      <c r="C500">
        <v>18.2</v>
      </c>
      <c r="M500" s="46"/>
      <c r="Y500" s="46"/>
      <c r="Z500" s="46"/>
      <c r="AA500" s="46"/>
      <c r="AD500" s="46"/>
    </row>
    <row r="501" spans="1:30">
      <c r="A501">
        <v>2912</v>
      </c>
      <c r="B501" t="s">
        <v>1039</v>
      </c>
      <c r="C501">
        <v>204.5</v>
      </c>
      <c r="Y501" s="46"/>
      <c r="Z501" s="46"/>
      <c r="AD501" s="46"/>
    </row>
    <row r="502" spans="1:30">
      <c r="A502">
        <v>2913</v>
      </c>
      <c r="B502" t="s">
        <v>1040</v>
      </c>
      <c r="C502">
        <v>14.65</v>
      </c>
      <c r="Y502" s="46"/>
      <c r="Z502" s="46"/>
      <c r="AD502" s="46"/>
    </row>
    <row r="503" spans="1:30">
      <c r="A503">
        <v>2915</v>
      </c>
      <c r="B503" t="s">
        <v>1041</v>
      </c>
      <c r="C503">
        <v>63.8</v>
      </c>
      <c r="Y503" s="46"/>
      <c r="Z503" s="46"/>
      <c r="AD503" s="46"/>
    </row>
    <row r="504" spans="1:30">
      <c r="A504">
        <v>2923</v>
      </c>
      <c r="B504" t="s">
        <v>1042</v>
      </c>
      <c r="C504">
        <v>21.6</v>
      </c>
      <c r="Y504" s="46"/>
      <c r="Z504" s="46"/>
      <c r="AD504" s="46"/>
    </row>
    <row r="505" spans="1:30">
      <c r="A505">
        <v>2929</v>
      </c>
      <c r="B505" t="s">
        <v>1043</v>
      </c>
      <c r="C505">
        <v>137</v>
      </c>
      <c r="Y505" s="46"/>
      <c r="Z505" s="46"/>
      <c r="AD505" s="46"/>
    </row>
    <row r="506" spans="1:30">
      <c r="A506">
        <v>3002</v>
      </c>
      <c r="B506" t="s">
        <v>1044</v>
      </c>
      <c r="C506">
        <v>10.25</v>
      </c>
      <c r="Y506" s="46"/>
      <c r="Z506" s="46"/>
      <c r="AA506" s="46"/>
      <c r="AD506" s="46"/>
    </row>
    <row r="507" spans="1:30">
      <c r="A507">
        <v>3003</v>
      </c>
      <c r="B507" t="s">
        <v>1045</v>
      </c>
      <c r="C507">
        <v>36.700000000000003</v>
      </c>
      <c r="Y507" s="46"/>
      <c r="Z507" s="46"/>
      <c r="AD507" s="46"/>
    </row>
    <row r="508" spans="1:30">
      <c r="A508">
        <v>3004</v>
      </c>
      <c r="B508" t="s">
        <v>1046</v>
      </c>
      <c r="C508">
        <v>55.3</v>
      </c>
      <c r="Y508" s="46"/>
      <c r="Z508" s="46"/>
      <c r="AD508" s="46"/>
    </row>
    <row r="509" spans="1:30">
      <c r="A509">
        <v>3005</v>
      </c>
      <c r="B509" t="s">
        <v>1047</v>
      </c>
      <c r="C509">
        <v>20.05</v>
      </c>
      <c r="Y509" s="46"/>
      <c r="Z509" s="46"/>
      <c r="AD509" s="46"/>
    </row>
    <row r="510" spans="1:30">
      <c r="A510">
        <v>3006</v>
      </c>
      <c r="B510" t="s">
        <v>1048</v>
      </c>
      <c r="C510">
        <v>30.6</v>
      </c>
      <c r="Y510" s="46"/>
      <c r="Z510" s="46"/>
      <c r="AD510" s="46"/>
    </row>
    <row r="511" spans="1:30">
      <c r="A511">
        <v>3008</v>
      </c>
      <c r="B511" t="s">
        <v>1049</v>
      </c>
      <c r="C511">
        <v>2275</v>
      </c>
      <c r="Y511" s="46"/>
      <c r="Z511" s="46"/>
      <c r="AA511" s="46"/>
      <c r="AD511" s="46"/>
    </row>
    <row r="512" spans="1:30">
      <c r="A512">
        <v>3010</v>
      </c>
      <c r="B512" t="s">
        <v>1050</v>
      </c>
      <c r="C512">
        <v>44.6</v>
      </c>
      <c r="Y512" s="46"/>
      <c r="Z512" s="46"/>
      <c r="AA512" s="46"/>
      <c r="AD512" s="46"/>
    </row>
    <row r="513" spans="1:30">
      <c r="A513">
        <v>3011</v>
      </c>
      <c r="B513" t="s">
        <v>1051</v>
      </c>
      <c r="C513">
        <v>7.21</v>
      </c>
      <c r="Y513" s="46"/>
      <c r="Z513" s="46"/>
      <c r="AA513" s="46"/>
      <c r="AD513" s="46"/>
    </row>
    <row r="514" spans="1:30">
      <c r="A514">
        <v>3013</v>
      </c>
      <c r="B514" t="s">
        <v>1052</v>
      </c>
      <c r="C514">
        <v>15.85</v>
      </c>
      <c r="Y514" s="46"/>
      <c r="Z514" s="46"/>
      <c r="AA514" s="46"/>
      <c r="AD514" s="46"/>
    </row>
    <row r="515" spans="1:30">
      <c r="A515">
        <v>3014</v>
      </c>
      <c r="B515" t="s">
        <v>1053</v>
      </c>
      <c r="C515">
        <v>29.05</v>
      </c>
      <c r="Y515" s="46"/>
      <c r="Z515" s="46"/>
      <c r="AA515" s="46"/>
      <c r="AD515" s="46"/>
    </row>
    <row r="516" spans="1:30">
      <c r="A516">
        <v>3015</v>
      </c>
      <c r="B516" t="s">
        <v>1857</v>
      </c>
      <c r="C516">
        <v>22.95</v>
      </c>
      <c r="Y516" s="46"/>
      <c r="Z516" s="46"/>
      <c r="AA516" s="46"/>
      <c r="AD516" s="46"/>
    </row>
    <row r="517" spans="1:30">
      <c r="A517">
        <v>3016</v>
      </c>
      <c r="B517" t="s">
        <v>1054</v>
      </c>
      <c r="C517">
        <v>15.4</v>
      </c>
      <c r="Y517" s="46"/>
      <c r="Z517" s="46"/>
      <c r="AA517" s="46"/>
      <c r="AD517" s="46"/>
    </row>
    <row r="518" spans="1:30">
      <c r="A518">
        <v>3017</v>
      </c>
      <c r="B518" t="s">
        <v>1055</v>
      </c>
      <c r="C518">
        <v>29.6</v>
      </c>
      <c r="Y518" s="46"/>
      <c r="Z518" s="46"/>
      <c r="AD518" s="46"/>
    </row>
    <row r="519" spans="1:30">
      <c r="A519">
        <v>3018</v>
      </c>
      <c r="B519" t="s">
        <v>1056</v>
      </c>
      <c r="C519">
        <v>15</v>
      </c>
      <c r="Y519" s="46"/>
      <c r="Z519" s="46"/>
      <c r="AA519" s="46"/>
      <c r="AD519" s="46"/>
    </row>
    <row r="520" spans="1:30">
      <c r="A520">
        <v>3019</v>
      </c>
      <c r="B520" t="s">
        <v>1057</v>
      </c>
      <c r="C520">
        <v>28.7</v>
      </c>
      <c r="Y520" s="46"/>
      <c r="Z520" s="46"/>
      <c r="AA520" s="46"/>
      <c r="AD520" s="46"/>
    </row>
    <row r="521" spans="1:30">
      <c r="A521">
        <v>3021</v>
      </c>
      <c r="B521" t="s">
        <v>1058</v>
      </c>
      <c r="C521">
        <v>12</v>
      </c>
      <c r="Y521" s="46"/>
      <c r="Z521" s="46"/>
      <c r="AA521" s="46"/>
      <c r="AD521" s="46"/>
    </row>
    <row r="522" spans="1:30">
      <c r="A522">
        <v>3022</v>
      </c>
      <c r="B522" t="s">
        <v>1059</v>
      </c>
      <c r="C522">
        <v>39.1</v>
      </c>
      <c r="Y522" s="46"/>
      <c r="Z522" s="46"/>
      <c r="AD522" s="46"/>
    </row>
    <row r="523" spans="1:30">
      <c r="A523">
        <v>3023</v>
      </c>
      <c r="B523" t="s">
        <v>1060</v>
      </c>
      <c r="C523">
        <v>61.7</v>
      </c>
      <c r="Y523" s="46"/>
      <c r="Z523" s="46"/>
      <c r="AA523" s="46"/>
      <c r="AD523" s="46"/>
    </row>
    <row r="524" spans="1:30">
      <c r="A524">
        <v>3024</v>
      </c>
      <c r="B524" t="s">
        <v>1061</v>
      </c>
      <c r="C524">
        <v>4</v>
      </c>
      <c r="Y524" s="46"/>
      <c r="Z524" s="46"/>
      <c r="AD524" s="46"/>
    </row>
    <row r="525" spans="1:30">
      <c r="A525">
        <v>3025</v>
      </c>
      <c r="B525" t="s">
        <v>1062</v>
      </c>
      <c r="C525">
        <v>8.18</v>
      </c>
      <c r="Y525" s="46"/>
      <c r="Z525" s="46"/>
      <c r="AA525" s="46"/>
      <c r="AD525" s="46"/>
    </row>
    <row r="526" spans="1:30">
      <c r="A526">
        <v>3026</v>
      </c>
      <c r="B526" t="s">
        <v>1063</v>
      </c>
      <c r="C526">
        <v>32.9</v>
      </c>
      <c r="Y526" s="46"/>
      <c r="Z526" s="46"/>
      <c r="AA526" s="46"/>
      <c r="AD526" s="46"/>
    </row>
    <row r="527" spans="1:30">
      <c r="A527">
        <v>3027</v>
      </c>
      <c r="B527" t="s">
        <v>1064</v>
      </c>
      <c r="C527">
        <v>11.3</v>
      </c>
      <c r="Y527" s="46"/>
      <c r="Z527" s="46"/>
      <c r="AA527" s="46"/>
      <c r="AD527" s="46"/>
    </row>
    <row r="528" spans="1:30">
      <c r="A528">
        <v>3028</v>
      </c>
      <c r="B528" t="s">
        <v>1065</v>
      </c>
      <c r="C528">
        <v>15.7</v>
      </c>
      <c r="Y528" s="46"/>
      <c r="Z528" s="46"/>
      <c r="AD528" s="46"/>
    </row>
    <row r="529" spans="1:30">
      <c r="A529">
        <v>3029</v>
      </c>
      <c r="B529" t="s">
        <v>1066</v>
      </c>
      <c r="C529">
        <v>18</v>
      </c>
      <c r="Y529" s="46"/>
      <c r="Z529" s="46"/>
      <c r="AD529" s="46"/>
    </row>
    <row r="530" spans="1:30">
      <c r="A530">
        <v>3030</v>
      </c>
      <c r="B530" t="s">
        <v>1067</v>
      </c>
      <c r="C530">
        <v>49.1</v>
      </c>
      <c r="Y530" s="46"/>
      <c r="Z530" s="46"/>
      <c r="AA530" s="46"/>
      <c r="AD530" s="46"/>
    </row>
    <row r="531" spans="1:30">
      <c r="A531">
        <v>3031</v>
      </c>
      <c r="B531" t="s">
        <v>1068</v>
      </c>
      <c r="C531">
        <v>9.76</v>
      </c>
      <c r="Y531" s="46"/>
      <c r="Z531" s="46"/>
      <c r="AD531" s="46"/>
    </row>
    <row r="532" spans="1:30">
      <c r="A532">
        <v>3032</v>
      </c>
      <c r="B532" t="s">
        <v>1069</v>
      </c>
      <c r="C532">
        <v>21.75</v>
      </c>
      <c r="Y532" s="46"/>
      <c r="Z532" s="46"/>
      <c r="AA532" s="46"/>
      <c r="AD532" s="46"/>
    </row>
    <row r="533" spans="1:30">
      <c r="A533">
        <v>3033</v>
      </c>
      <c r="B533" t="s">
        <v>1070</v>
      </c>
      <c r="C533">
        <v>19.100000000000001</v>
      </c>
      <c r="Y533" s="46"/>
      <c r="Z533" s="46"/>
      <c r="AA533" s="46"/>
      <c r="AD533" s="46"/>
    </row>
    <row r="534" spans="1:30">
      <c r="A534">
        <v>3034</v>
      </c>
      <c r="B534" t="s">
        <v>1071</v>
      </c>
      <c r="C534">
        <v>136.5</v>
      </c>
      <c r="Y534" s="46"/>
      <c r="Z534" s="46"/>
      <c r="AD534" s="46"/>
    </row>
    <row r="535" spans="1:30">
      <c r="A535">
        <v>3035</v>
      </c>
      <c r="B535" t="s">
        <v>1072</v>
      </c>
      <c r="C535">
        <v>46.95</v>
      </c>
      <c r="Y535" s="46"/>
      <c r="Z535" s="46"/>
      <c r="AD535" s="46"/>
    </row>
    <row r="536" spans="1:30">
      <c r="A536">
        <v>3036</v>
      </c>
      <c r="B536" t="s">
        <v>1073</v>
      </c>
      <c r="C536">
        <v>35.299999999999997</v>
      </c>
      <c r="Y536" s="46"/>
      <c r="Z536" s="46"/>
      <c r="AA536" s="46"/>
      <c r="AD536" s="46"/>
    </row>
    <row r="537" spans="1:30">
      <c r="A537">
        <v>3037</v>
      </c>
      <c r="B537" t="s">
        <v>1074</v>
      </c>
      <c r="C537">
        <v>14.6</v>
      </c>
      <c r="Y537" s="46"/>
      <c r="Z537" s="46"/>
      <c r="AA537" s="46"/>
      <c r="AD537" s="46"/>
    </row>
    <row r="538" spans="1:30">
      <c r="A538">
        <v>3038</v>
      </c>
      <c r="B538" t="s">
        <v>1075</v>
      </c>
      <c r="C538">
        <v>10.050000000000001</v>
      </c>
      <c r="Y538" s="46"/>
      <c r="Z538" s="46"/>
      <c r="AD538" s="46"/>
    </row>
    <row r="539" spans="1:30">
      <c r="A539">
        <v>3040</v>
      </c>
      <c r="B539" t="s">
        <v>1076</v>
      </c>
      <c r="C539">
        <v>32.299999999999997</v>
      </c>
      <c r="Y539" s="46"/>
      <c r="Z539" s="46"/>
      <c r="AD539" s="46"/>
    </row>
    <row r="540" spans="1:30">
      <c r="A540">
        <v>3041</v>
      </c>
      <c r="B540" t="s">
        <v>1077</v>
      </c>
      <c r="C540">
        <v>18.8</v>
      </c>
      <c r="Y540" s="46"/>
      <c r="Z540" s="46"/>
      <c r="AD540" s="46"/>
    </row>
    <row r="541" spans="1:30">
      <c r="A541">
        <v>3042</v>
      </c>
      <c r="B541" t="s">
        <v>1078</v>
      </c>
      <c r="C541">
        <v>36</v>
      </c>
      <c r="Y541" s="46"/>
      <c r="Z541" s="46"/>
      <c r="AD541" s="46"/>
    </row>
    <row r="542" spans="1:30">
      <c r="A542">
        <v>3043</v>
      </c>
      <c r="B542" t="s">
        <v>1079</v>
      </c>
      <c r="C542">
        <v>3.07</v>
      </c>
      <c r="Y542" s="46"/>
      <c r="Z542" s="46"/>
      <c r="AD542" s="46"/>
    </row>
    <row r="543" spans="1:30">
      <c r="A543">
        <v>3044</v>
      </c>
      <c r="B543" t="s">
        <v>1080</v>
      </c>
      <c r="C543">
        <v>56.3</v>
      </c>
      <c r="Y543" s="46"/>
      <c r="Z543" s="46"/>
      <c r="AD543" s="46"/>
    </row>
    <row r="544" spans="1:30">
      <c r="A544">
        <v>3045</v>
      </c>
      <c r="B544" t="s">
        <v>1081</v>
      </c>
      <c r="C544">
        <v>99.1</v>
      </c>
      <c r="Y544" s="46"/>
      <c r="Z544" s="46"/>
      <c r="AA544" s="46"/>
      <c r="AD544" s="46"/>
    </row>
    <row r="545" spans="1:30">
      <c r="A545">
        <v>3046</v>
      </c>
      <c r="B545" t="s">
        <v>1082</v>
      </c>
      <c r="C545">
        <v>9.09</v>
      </c>
      <c r="Y545" s="46"/>
      <c r="Z545" s="46"/>
      <c r="AA545" s="46"/>
      <c r="AD545" s="46"/>
    </row>
    <row r="546" spans="1:30">
      <c r="A546">
        <v>3047</v>
      </c>
      <c r="B546" t="s">
        <v>1083</v>
      </c>
      <c r="C546">
        <v>10</v>
      </c>
      <c r="Y546" s="46"/>
      <c r="Z546" s="46"/>
      <c r="AA546" s="46"/>
      <c r="AD546" s="46"/>
    </row>
    <row r="547" spans="1:30">
      <c r="A547">
        <v>3048</v>
      </c>
      <c r="B547" t="s">
        <v>1084</v>
      </c>
      <c r="C547">
        <v>19.600000000000001</v>
      </c>
      <c r="Y547" s="46"/>
      <c r="Z547" s="46"/>
      <c r="AA547" s="46"/>
      <c r="AD547" s="46"/>
    </row>
    <row r="548" spans="1:30">
      <c r="A548">
        <v>3049</v>
      </c>
      <c r="B548" t="s">
        <v>1085</v>
      </c>
      <c r="C548">
        <v>7.94</v>
      </c>
      <c r="Y548" s="46"/>
      <c r="Z548" s="46"/>
      <c r="AA548" s="46"/>
      <c r="AD548" s="46"/>
    </row>
    <row r="549" spans="1:30">
      <c r="A549">
        <v>3050</v>
      </c>
      <c r="B549" t="s">
        <v>1086</v>
      </c>
      <c r="C549">
        <v>8.5</v>
      </c>
      <c r="Y549" s="46"/>
      <c r="Z549" s="46"/>
      <c r="AA549" s="46"/>
      <c r="AD549" s="46"/>
    </row>
    <row r="550" spans="1:30">
      <c r="A550">
        <v>3051</v>
      </c>
      <c r="B550" t="s">
        <v>1087</v>
      </c>
      <c r="C550">
        <v>6.25</v>
      </c>
      <c r="Y550" s="46"/>
      <c r="Z550" s="46"/>
      <c r="AA550" s="46"/>
      <c r="AD550" s="46"/>
    </row>
    <row r="551" spans="1:30">
      <c r="A551">
        <v>3052</v>
      </c>
      <c r="B551" t="s">
        <v>1088</v>
      </c>
      <c r="C551">
        <v>10.1</v>
      </c>
      <c r="Y551" s="46"/>
      <c r="Z551" s="46"/>
      <c r="AA551" s="46"/>
      <c r="AD551" s="46"/>
    </row>
    <row r="552" spans="1:30">
      <c r="A552">
        <v>3054</v>
      </c>
      <c r="B552" t="s">
        <v>1089</v>
      </c>
      <c r="C552">
        <v>21.6</v>
      </c>
      <c r="Y552" s="46"/>
      <c r="Z552" s="46"/>
      <c r="AA552" s="46"/>
      <c r="AD552" s="46"/>
    </row>
    <row r="553" spans="1:30">
      <c r="A553">
        <v>3055</v>
      </c>
      <c r="B553" t="s">
        <v>1090</v>
      </c>
      <c r="C553">
        <v>17.7</v>
      </c>
      <c r="Y553" s="46"/>
      <c r="Z553" s="46"/>
      <c r="AA553" s="46"/>
      <c r="AD553" s="46"/>
    </row>
    <row r="554" spans="1:30">
      <c r="A554">
        <v>3056</v>
      </c>
      <c r="B554" t="s">
        <v>1091</v>
      </c>
      <c r="C554">
        <v>12.15</v>
      </c>
      <c r="Y554" s="46"/>
      <c r="Z554" s="46"/>
      <c r="AA554" s="46"/>
      <c r="AD554" s="46"/>
    </row>
    <row r="555" spans="1:30">
      <c r="A555">
        <v>3057</v>
      </c>
      <c r="B555" t="s">
        <v>1092</v>
      </c>
      <c r="C555">
        <v>17.3</v>
      </c>
      <c r="Y555" s="46"/>
      <c r="Z555" s="46"/>
      <c r="AA555" s="46"/>
      <c r="AD555" s="46"/>
    </row>
    <row r="556" spans="1:30">
      <c r="A556">
        <v>3058</v>
      </c>
      <c r="B556" t="s">
        <v>1093</v>
      </c>
      <c r="C556">
        <v>8.5299999999999994</v>
      </c>
      <c r="Y556" s="46"/>
      <c r="Z556" s="46"/>
      <c r="AD556" s="46"/>
    </row>
    <row r="557" spans="1:30">
      <c r="A557">
        <v>3059</v>
      </c>
      <c r="B557" t="s">
        <v>1094</v>
      </c>
      <c r="C557">
        <v>27.7</v>
      </c>
      <c r="Y557" s="46"/>
      <c r="Z557" s="46"/>
      <c r="AD557" s="46"/>
    </row>
    <row r="558" spans="1:30">
      <c r="A558">
        <v>3060</v>
      </c>
      <c r="B558" t="s">
        <v>1095</v>
      </c>
      <c r="C558">
        <v>55.1</v>
      </c>
      <c r="Y558" s="46"/>
      <c r="Z558" s="46"/>
      <c r="AA558" s="46"/>
      <c r="AD558" s="46"/>
    </row>
    <row r="559" spans="1:30">
      <c r="A559">
        <v>3062</v>
      </c>
      <c r="B559" t="s">
        <v>1096</v>
      </c>
      <c r="C559">
        <v>15.3</v>
      </c>
      <c r="Y559" s="46"/>
      <c r="Z559" s="46"/>
      <c r="AD559" s="46"/>
    </row>
    <row r="560" spans="1:30">
      <c r="A560">
        <v>3090</v>
      </c>
      <c r="B560" t="s">
        <v>1097</v>
      </c>
      <c r="C560">
        <v>22.25</v>
      </c>
      <c r="Y560" s="46"/>
      <c r="Z560" s="46"/>
      <c r="AA560" s="46"/>
      <c r="AD560" s="46"/>
    </row>
    <row r="561" spans="1:30">
      <c r="A561">
        <v>3094</v>
      </c>
      <c r="B561" t="s">
        <v>1098</v>
      </c>
      <c r="C561">
        <v>27.55</v>
      </c>
      <c r="Y561" s="46"/>
      <c r="Z561" s="46"/>
      <c r="AA561" s="46"/>
      <c r="AD561" s="46"/>
    </row>
    <row r="562" spans="1:30">
      <c r="A562">
        <v>3130</v>
      </c>
      <c r="B562" t="s">
        <v>1099</v>
      </c>
      <c r="C562">
        <v>139.5</v>
      </c>
      <c r="Y562" s="46"/>
      <c r="Z562" s="46"/>
      <c r="AA562" s="46"/>
      <c r="AD562" s="46"/>
    </row>
    <row r="563" spans="1:30">
      <c r="A563">
        <v>3149</v>
      </c>
      <c r="B563" t="s">
        <v>1100</v>
      </c>
      <c r="C563">
        <v>12.7</v>
      </c>
      <c r="Y563" s="46"/>
      <c r="Z563" s="46"/>
      <c r="AA563" s="46"/>
      <c r="AD563" s="46"/>
    </row>
    <row r="564" spans="1:30">
      <c r="A564">
        <v>3164</v>
      </c>
      <c r="B564" t="s">
        <v>1101</v>
      </c>
      <c r="C564">
        <v>25</v>
      </c>
      <c r="Y564" s="46"/>
      <c r="Z564" s="46"/>
      <c r="AA564" s="46"/>
      <c r="AD564" s="46"/>
    </row>
    <row r="565" spans="1:30">
      <c r="A565">
        <v>3167</v>
      </c>
      <c r="B565" t="s">
        <v>1102</v>
      </c>
      <c r="C565">
        <v>26.3</v>
      </c>
      <c r="Y565" s="46"/>
      <c r="Z565" s="46"/>
      <c r="AA565" s="46"/>
      <c r="AD565" s="46"/>
    </row>
    <row r="566" spans="1:30">
      <c r="A566">
        <v>3189</v>
      </c>
      <c r="B566" t="s">
        <v>1103</v>
      </c>
      <c r="C566">
        <v>67.7</v>
      </c>
      <c r="Y566" s="46"/>
      <c r="Z566" s="46"/>
      <c r="AD566" s="46"/>
    </row>
    <row r="567" spans="1:30">
      <c r="A567">
        <v>3209</v>
      </c>
      <c r="B567" t="s">
        <v>1104</v>
      </c>
      <c r="C567">
        <v>25</v>
      </c>
      <c r="Y567" s="46"/>
      <c r="Z567" s="46"/>
      <c r="AA567" s="46"/>
      <c r="AD567" s="46"/>
    </row>
    <row r="568" spans="1:30">
      <c r="A568">
        <v>3229</v>
      </c>
      <c r="B568" t="s">
        <v>1105</v>
      </c>
      <c r="C568">
        <v>14.05</v>
      </c>
      <c r="Y568" s="46"/>
      <c r="Z568" s="46"/>
      <c r="AD568" s="46"/>
    </row>
    <row r="569" spans="1:30">
      <c r="A569">
        <v>3231</v>
      </c>
      <c r="B569" t="s">
        <v>1106</v>
      </c>
      <c r="C569">
        <v>19.8</v>
      </c>
      <c r="Y569" s="46"/>
      <c r="Z569" s="46"/>
      <c r="AA569" s="46"/>
      <c r="AD569" s="46"/>
    </row>
    <row r="570" spans="1:30">
      <c r="A570">
        <v>3257</v>
      </c>
      <c r="B570" t="s">
        <v>1107</v>
      </c>
      <c r="C570">
        <v>48.65</v>
      </c>
      <c r="Y570" s="46"/>
      <c r="Z570" s="46"/>
      <c r="AA570" s="46"/>
      <c r="AD570" s="46"/>
    </row>
    <row r="571" spans="1:30">
      <c r="A571">
        <v>3266</v>
      </c>
      <c r="B571" t="s">
        <v>1108</v>
      </c>
      <c r="C571">
        <v>12.15</v>
      </c>
      <c r="Y571" s="46"/>
      <c r="Z571" s="46"/>
      <c r="AA571" s="46"/>
      <c r="AD571" s="46"/>
    </row>
    <row r="572" spans="1:30">
      <c r="A572">
        <v>3296</v>
      </c>
      <c r="B572" t="s">
        <v>1109</v>
      </c>
      <c r="C572">
        <v>13</v>
      </c>
      <c r="Y572" s="46"/>
      <c r="Z572" s="46"/>
      <c r="AD572" s="46"/>
    </row>
    <row r="573" spans="1:30">
      <c r="A573">
        <v>3305</v>
      </c>
      <c r="B573" t="s">
        <v>1110</v>
      </c>
      <c r="C573">
        <v>22.9</v>
      </c>
      <c r="Y573" s="46"/>
      <c r="Z573" s="46"/>
      <c r="AA573" s="46"/>
      <c r="AD573" s="46"/>
    </row>
    <row r="574" spans="1:30">
      <c r="A574">
        <v>3308</v>
      </c>
      <c r="B574" t="s">
        <v>1111</v>
      </c>
      <c r="C574">
        <v>7.63</v>
      </c>
      <c r="Y574" s="46"/>
      <c r="Z574" s="46"/>
      <c r="AA574" s="46"/>
      <c r="AD574" s="46"/>
    </row>
    <row r="575" spans="1:30">
      <c r="A575">
        <v>3311</v>
      </c>
      <c r="B575" t="s">
        <v>1112</v>
      </c>
      <c r="C575">
        <v>17.350000000000001</v>
      </c>
      <c r="Y575" s="46"/>
      <c r="Z575" s="46"/>
      <c r="AA575" s="46"/>
      <c r="AD575" s="46"/>
    </row>
    <row r="576" spans="1:30">
      <c r="A576">
        <v>3312</v>
      </c>
      <c r="B576" t="s">
        <v>1113</v>
      </c>
      <c r="C576">
        <v>6.27</v>
      </c>
      <c r="Y576" s="46"/>
      <c r="Z576" s="46"/>
      <c r="AA576" s="46"/>
      <c r="AD576" s="46"/>
    </row>
    <row r="577" spans="1:30">
      <c r="A577">
        <v>3315</v>
      </c>
      <c r="B577" t="s">
        <v>1114</v>
      </c>
      <c r="C577">
        <v>15.55</v>
      </c>
      <c r="Y577" s="46"/>
      <c r="Z577" s="46"/>
      <c r="AA577" s="46"/>
      <c r="AD577" s="46"/>
    </row>
    <row r="578" spans="1:30">
      <c r="A578">
        <v>3321</v>
      </c>
      <c r="B578" t="s">
        <v>2427</v>
      </c>
      <c r="C578">
        <v>29.5</v>
      </c>
      <c r="Y578" s="46"/>
      <c r="Z578" s="46"/>
      <c r="AD578" s="46"/>
    </row>
    <row r="579" spans="1:30">
      <c r="A579">
        <v>3338</v>
      </c>
      <c r="B579" t="s">
        <v>1115</v>
      </c>
      <c r="C579">
        <v>23.95</v>
      </c>
      <c r="Y579" s="46"/>
      <c r="Z579" s="46"/>
      <c r="AA579" s="46"/>
      <c r="AD579" s="46"/>
    </row>
    <row r="580" spans="1:30">
      <c r="A580">
        <v>3356</v>
      </c>
      <c r="B580" t="s">
        <v>1116</v>
      </c>
      <c r="C580">
        <v>71.3</v>
      </c>
      <c r="Y580" s="46"/>
      <c r="Z580" s="46"/>
      <c r="AA580" s="46"/>
      <c r="AD580" s="46"/>
    </row>
    <row r="581" spans="1:30">
      <c r="A581">
        <v>3376</v>
      </c>
      <c r="B581" t="s">
        <v>1117</v>
      </c>
      <c r="C581">
        <v>130</v>
      </c>
      <c r="Y581" s="46"/>
      <c r="Z581" s="46"/>
      <c r="AA581" s="46"/>
      <c r="AD581" s="46"/>
    </row>
    <row r="582" spans="1:30">
      <c r="A582">
        <v>3380</v>
      </c>
      <c r="B582" t="s">
        <v>1118</v>
      </c>
      <c r="C582">
        <v>17.149999999999999</v>
      </c>
      <c r="Y582" s="46"/>
      <c r="Z582" s="46"/>
      <c r="AA582" s="46"/>
      <c r="AD582" s="46"/>
    </row>
    <row r="583" spans="1:30">
      <c r="A583">
        <v>3383</v>
      </c>
      <c r="B583" t="s">
        <v>1119</v>
      </c>
      <c r="C583">
        <v>8.02</v>
      </c>
      <c r="Y583" s="46"/>
      <c r="Z583" s="46"/>
      <c r="AA583" s="46"/>
      <c r="AD583" s="46"/>
    </row>
    <row r="584" spans="1:30">
      <c r="A584">
        <v>3406</v>
      </c>
      <c r="B584" t="s">
        <v>1120</v>
      </c>
      <c r="C584">
        <v>60.7</v>
      </c>
      <c r="Y584" s="46"/>
      <c r="Z584" s="46"/>
      <c r="AA584" s="46"/>
      <c r="AD584" s="46"/>
    </row>
    <row r="585" spans="1:30">
      <c r="A585">
        <v>3413</v>
      </c>
      <c r="B585" t="s">
        <v>1121</v>
      </c>
      <c r="C585">
        <v>83.6</v>
      </c>
      <c r="Y585" s="46"/>
      <c r="Z585" s="46"/>
      <c r="AA585" s="46"/>
      <c r="AD585" s="46"/>
    </row>
    <row r="586" spans="1:30">
      <c r="A586">
        <v>3416</v>
      </c>
      <c r="B586" t="s">
        <v>1122</v>
      </c>
      <c r="C586">
        <v>56.1</v>
      </c>
      <c r="Y586" s="46"/>
      <c r="Z586" s="46"/>
      <c r="AD586" s="46"/>
    </row>
    <row r="587" spans="1:30">
      <c r="A587">
        <v>3419</v>
      </c>
      <c r="B587" t="s">
        <v>1123</v>
      </c>
      <c r="C587">
        <v>15.5</v>
      </c>
      <c r="Y587" s="46"/>
      <c r="Z587" s="46"/>
      <c r="AA587" s="46"/>
      <c r="AD587" s="46"/>
    </row>
    <row r="588" spans="1:30">
      <c r="A588">
        <v>3432</v>
      </c>
      <c r="B588" t="s">
        <v>1124</v>
      </c>
      <c r="C588">
        <v>13.7</v>
      </c>
      <c r="Y588" s="46"/>
      <c r="Z588" s="46"/>
      <c r="AA588" s="46"/>
      <c r="AD588" s="46"/>
    </row>
    <row r="589" spans="1:30">
      <c r="A589">
        <v>3437</v>
      </c>
      <c r="B589" t="s">
        <v>1125</v>
      </c>
      <c r="C589">
        <v>25.6</v>
      </c>
      <c r="Y589" s="46"/>
      <c r="Z589" s="46"/>
      <c r="AA589" s="46"/>
      <c r="AD589" s="46"/>
    </row>
    <row r="590" spans="1:30">
      <c r="A590">
        <v>3443</v>
      </c>
      <c r="B590" t="s">
        <v>1126</v>
      </c>
      <c r="C590">
        <v>66.599999999999994</v>
      </c>
      <c r="Y590" s="46"/>
      <c r="Z590" s="46"/>
      <c r="AD590" s="46"/>
    </row>
    <row r="591" spans="1:30">
      <c r="A591">
        <v>3450</v>
      </c>
      <c r="B591" t="s">
        <v>1127</v>
      </c>
      <c r="C591">
        <v>130</v>
      </c>
      <c r="Y591" s="46"/>
      <c r="Z591" s="46"/>
      <c r="AA591" s="46"/>
      <c r="AD591" s="46"/>
    </row>
    <row r="592" spans="1:30">
      <c r="A592">
        <v>3454</v>
      </c>
      <c r="B592" t="s">
        <v>1128</v>
      </c>
      <c r="C592">
        <v>73</v>
      </c>
      <c r="Y592" s="46"/>
      <c r="Z592" s="46"/>
      <c r="AD592" s="46"/>
    </row>
    <row r="593" spans="1:30">
      <c r="A593">
        <v>3474</v>
      </c>
      <c r="B593" t="s">
        <v>1129</v>
      </c>
      <c r="C593">
        <v>27.7</v>
      </c>
      <c r="O593" s="46"/>
      <c r="Y593" s="46"/>
      <c r="Z593" s="46"/>
      <c r="AD593" s="46"/>
    </row>
    <row r="594" spans="1:30">
      <c r="A594">
        <v>3481</v>
      </c>
      <c r="B594" t="s">
        <v>1130</v>
      </c>
      <c r="C594">
        <v>10.199999999999999</v>
      </c>
      <c r="M594" s="46"/>
      <c r="O594" s="46"/>
      <c r="Y594" s="46"/>
      <c r="Z594" s="46"/>
      <c r="AA594" s="46"/>
      <c r="AD594" s="46"/>
    </row>
    <row r="595" spans="1:30">
      <c r="A595">
        <v>3494</v>
      </c>
      <c r="B595" t="s">
        <v>1131</v>
      </c>
      <c r="C595">
        <v>12.35</v>
      </c>
      <c r="Y595" s="46"/>
      <c r="Z595" s="46"/>
      <c r="AA595" s="46"/>
      <c r="AD595" s="46"/>
    </row>
    <row r="596" spans="1:30">
      <c r="A596">
        <v>3501</v>
      </c>
      <c r="B596" t="s">
        <v>1132</v>
      </c>
      <c r="C596">
        <v>52.8</v>
      </c>
      <c r="Y596" s="46"/>
      <c r="Z596" s="46"/>
      <c r="AA596" s="46"/>
      <c r="AD596" s="46"/>
    </row>
    <row r="597" spans="1:30">
      <c r="A597">
        <v>3504</v>
      </c>
      <c r="B597" t="s">
        <v>1133</v>
      </c>
      <c r="C597">
        <v>35.6</v>
      </c>
      <c r="Y597" s="46"/>
      <c r="Z597" s="46"/>
      <c r="AA597" s="46"/>
      <c r="AD597" s="46"/>
    </row>
    <row r="598" spans="1:30">
      <c r="A598">
        <v>3514</v>
      </c>
      <c r="B598" t="s">
        <v>1134</v>
      </c>
      <c r="C598">
        <v>31.15</v>
      </c>
      <c r="Y598" s="46"/>
      <c r="Z598" s="46"/>
      <c r="AA598" s="46"/>
      <c r="AD598" s="46"/>
    </row>
    <row r="599" spans="1:30">
      <c r="A599">
        <v>3515</v>
      </c>
      <c r="B599" t="s">
        <v>1135</v>
      </c>
      <c r="C599">
        <v>39.9</v>
      </c>
      <c r="Y599" s="46"/>
      <c r="Z599" s="46"/>
      <c r="AD599" s="46"/>
    </row>
    <row r="600" spans="1:30">
      <c r="A600">
        <v>3518</v>
      </c>
      <c r="B600" t="s">
        <v>1136</v>
      </c>
      <c r="C600">
        <v>36.1</v>
      </c>
      <c r="Y600" s="46"/>
      <c r="Z600" s="46"/>
      <c r="AA600" s="46"/>
      <c r="AD600" s="46"/>
    </row>
    <row r="601" spans="1:30">
      <c r="A601">
        <v>3519</v>
      </c>
      <c r="B601" t="s">
        <v>1137</v>
      </c>
      <c r="C601">
        <v>22.9</v>
      </c>
      <c r="Y601" s="46"/>
      <c r="Z601" s="46"/>
      <c r="AA601" s="46"/>
      <c r="AD601" s="46"/>
    </row>
    <row r="602" spans="1:30">
      <c r="A602">
        <v>3532</v>
      </c>
      <c r="B602" t="s">
        <v>1138</v>
      </c>
      <c r="C602">
        <v>35.9</v>
      </c>
      <c r="Y602" s="46"/>
      <c r="Z602" s="46"/>
      <c r="AD602" s="46"/>
    </row>
    <row r="603" spans="1:30">
      <c r="A603">
        <v>3533</v>
      </c>
      <c r="B603" t="s">
        <v>1139</v>
      </c>
      <c r="C603">
        <v>125.5</v>
      </c>
      <c r="Y603" s="46"/>
      <c r="Z603" s="46"/>
      <c r="AA603" s="46"/>
      <c r="AD603" s="46"/>
    </row>
    <row r="604" spans="1:30">
      <c r="A604">
        <v>3535</v>
      </c>
      <c r="B604" t="s">
        <v>1140</v>
      </c>
      <c r="C604">
        <v>9.0500000000000007</v>
      </c>
      <c r="Y604" s="46"/>
      <c r="Z604" s="46"/>
      <c r="AA604" s="46"/>
      <c r="AD604" s="46"/>
    </row>
    <row r="605" spans="1:30">
      <c r="A605">
        <v>3536</v>
      </c>
      <c r="B605" t="s">
        <v>1141</v>
      </c>
      <c r="C605">
        <v>5.8</v>
      </c>
      <c r="Y605" s="46"/>
      <c r="Z605" s="46"/>
      <c r="AD605" s="46"/>
    </row>
    <row r="606" spans="1:30">
      <c r="A606">
        <v>3545</v>
      </c>
      <c r="B606" t="s">
        <v>1142</v>
      </c>
      <c r="C606">
        <v>34.700000000000003</v>
      </c>
      <c r="Y606" s="46"/>
      <c r="Z606" s="46"/>
      <c r="AA606" s="46"/>
      <c r="AD606" s="46"/>
    </row>
    <row r="607" spans="1:30">
      <c r="A607">
        <v>3550</v>
      </c>
      <c r="B607" t="s">
        <v>1143</v>
      </c>
      <c r="C607">
        <v>11.85</v>
      </c>
      <c r="Y607" s="46"/>
      <c r="Z607" s="46"/>
      <c r="AA607" s="46"/>
      <c r="AD607" s="46"/>
    </row>
    <row r="608" spans="1:30">
      <c r="A608">
        <v>3557</v>
      </c>
      <c r="B608" t="s">
        <v>1144</v>
      </c>
      <c r="C608">
        <v>3.91</v>
      </c>
      <c r="Y608" s="46"/>
      <c r="Z608" s="46"/>
      <c r="AA608" s="46"/>
      <c r="AD608" s="46"/>
    </row>
    <row r="609" spans="1:30">
      <c r="A609">
        <v>3559</v>
      </c>
      <c r="B609" t="s">
        <v>1145</v>
      </c>
      <c r="C609">
        <v>20.399999999999999</v>
      </c>
      <c r="Y609" s="46"/>
      <c r="Z609" s="46"/>
      <c r="AA609" s="46"/>
      <c r="AD609" s="46"/>
    </row>
    <row r="610" spans="1:30">
      <c r="A610">
        <v>3561</v>
      </c>
      <c r="B610" t="s">
        <v>1146</v>
      </c>
      <c r="C610">
        <v>20.5</v>
      </c>
      <c r="Y610" s="46"/>
      <c r="Z610" s="46"/>
      <c r="AA610" s="46"/>
      <c r="AD610" s="46"/>
    </row>
    <row r="611" spans="1:30">
      <c r="A611">
        <v>3573</v>
      </c>
      <c r="B611" t="s">
        <v>1147</v>
      </c>
      <c r="C611">
        <v>26.05</v>
      </c>
      <c r="Y611" s="46"/>
      <c r="Z611" s="46"/>
      <c r="AA611" s="46"/>
      <c r="AD611" s="46"/>
    </row>
    <row r="612" spans="1:30">
      <c r="A612">
        <v>3576</v>
      </c>
      <c r="B612" t="s">
        <v>1148</v>
      </c>
      <c r="C612">
        <v>24.8</v>
      </c>
      <c r="Y612" s="46"/>
      <c r="Z612" s="46"/>
      <c r="AD612" s="46"/>
    </row>
    <row r="613" spans="1:30">
      <c r="A613">
        <v>3579</v>
      </c>
      <c r="B613" t="s">
        <v>1149</v>
      </c>
      <c r="C613">
        <v>16.7</v>
      </c>
      <c r="Y613" s="46"/>
      <c r="Z613" s="46"/>
      <c r="AA613" s="46"/>
      <c r="AD613" s="46"/>
    </row>
    <row r="614" spans="1:30">
      <c r="A614">
        <v>3583</v>
      </c>
      <c r="B614" t="s">
        <v>1150</v>
      </c>
      <c r="C614">
        <v>71.2</v>
      </c>
      <c r="Y614" s="46"/>
      <c r="Z614" s="46"/>
      <c r="AA614" s="46"/>
      <c r="AD614" s="46"/>
    </row>
    <row r="615" spans="1:30">
      <c r="A615">
        <v>3584</v>
      </c>
      <c r="B615" t="s">
        <v>1151</v>
      </c>
      <c r="C615">
        <v>5.41</v>
      </c>
      <c r="Y615" s="46"/>
      <c r="Z615" s="46"/>
      <c r="AD615" s="46"/>
    </row>
    <row r="616" spans="1:30">
      <c r="A616">
        <v>3588</v>
      </c>
      <c r="B616" t="s">
        <v>1152</v>
      </c>
      <c r="C616">
        <v>29.9</v>
      </c>
      <c r="Y616" s="46"/>
      <c r="Z616" s="46"/>
      <c r="AA616" s="46"/>
      <c r="AD616" s="46"/>
    </row>
    <row r="617" spans="1:30">
      <c r="A617">
        <v>3591</v>
      </c>
      <c r="B617" t="s">
        <v>1153</v>
      </c>
      <c r="C617">
        <v>17.100000000000001</v>
      </c>
      <c r="Y617" s="46"/>
      <c r="Z617" s="46"/>
      <c r="AA617" s="46"/>
      <c r="AD617" s="46"/>
    </row>
    <row r="618" spans="1:30">
      <c r="A618">
        <v>3593</v>
      </c>
      <c r="B618" t="s">
        <v>1154</v>
      </c>
      <c r="C618">
        <v>8.4700000000000006</v>
      </c>
      <c r="Y618" s="46"/>
      <c r="Z618" s="46"/>
      <c r="AA618" s="46"/>
      <c r="AD618" s="46"/>
    </row>
    <row r="619" spans="1:30">
      <c r="A619">
        <v>3596</v>
      </c>
      <c r="B619" t="s">
        <v>1155</v>
      </c>
      <c r="C619">
        <v>35.549999999999997</v>
      </c>
      <c r="Y619" s="46"/>
      <c r="Z619" s="46"/>
      <c r="AA619" s="46"/>
      <c r="AD619" s="46"/>
    </row>
    <row r="620" spans="1:30">
      <c r="A620">
        <v>3598</v>
      </c>
      <c r="B620" t="s">
        <v>1156</v>
      </c>
      <c r="C620">
        <v>48.95</v>
      </c>
      <c r="Y620" s="46"/>
      <c r="Z620" s="46"/>
      <c r="AA620" s="46"/>
      <c r="AD620" s="46"/>
    </row>
    <row r="621" spans="1:30">
      <c r="A621">
        <v>3605</v>
      </c>
      <c r="B621" t="s">
        <v>1157</v>
      </c>
      <c r="C621">
        <v>27.65</v>
      </c>
      <c r="Y621" s="46"/>
      <c r="Z621" s="46"/>
      <c r="AA621" s="46"/>
      <c r="AD621" s="46"/>
    </row>
    <row r="622" spans="1:30">
      <c r="A622">
        <v>3607</v>
      </c>
      <c r="B622" t="s">
        <v>1158</v>
      </c>
      <c r="C622">
        <v>50.2</v>
      </c>
      <c r="Y622" s="46"/>
      <c r="Z622" s="46"/>
      <c r="AA622" s="46"/>
      <c r="AD622" s="46"/>
    </row>
    <row r="623" spans="1:30">
      <c r="A623">
        <v>3617</v>
      </c>
      <c r="B623" t="s">
        <v>1159</v>
      </c>
      <c r="C623">
        <v>102.5</v>
      </c>
      <c r="Y623" s="46"/>
      <c r="Z623" s="46"/>
      <c r="AA623" s="46"/>
      <c r="AD623" s="46"/>
    </row>
    <row r="624" spans="1:30">
      <c r="A624">
        <v>3622</v>
      </c>
      <c r="B624" t="s">
        <v>1160</v>
      </c>
      <c r="C624">
        <v>11.45</v>
      </c>
      <c r="Y624" s="46"/>
      <c r="Z624" s="46"/>
      <c r="AA624" s="46"/>
      <c r="AD624" s="46"/>
    </row>
    <row r="625" spans="1:30">
      <c r="A625">
        <v>3645</v>
      </c>
      <c r="B625" t="s">
        <v>1161</v>
      </c>
      <c r="C625">
        <v>24.7</v>
      </c>
      <c r="Y625" s="46"/>
      <c r="Z625" s="46"/>
      <c r="AA625" s="46"/>
      <c r="AD625" s="46"/>
    </row>
    <row r="626" spans="1:30">
      <c r="A626">
        <v>3653</v>
      </c>
      <c r="B626" t="s">
        <v>1162</v>
      </c>
      <c r="C626">
        <v>45</v>
      </c>
      <c r="Y626" s="46"/>
      <c r="Z626" s="46"/>
      <c r="AA626" s="46"/>
      <c r="AD626" s="46"/>
    </row>
    <row r="627" spans="1:30">
      <c r="A627">
        <v>3661</v>
      </c>
      <c r="B627" t="s">
        <v>1163</v>
      </c>
      <c r="C627">
        <v>32.6</v>
      </c>
      <c r="Y627" s="46"/>
      <c r="Z627" s="46"/>
      <c r="AA627" s="46"/>
      <c r="AD627" s="46"/>
    </row>
    <row r="628" spans="1:30">
      <c r="A628">
        <v>3665</v>
      </c>
      <c r="B628" t="s">
        <v>1164</v>
      </c>
      <c r="C628">
        <v>144.5</v>
      </c>
      <c r="Y628" s="46"/>
      <c r="Z628" s="46"/>
      <c r="AA628" s="46"/>
      <c r="AD628" s="46"/>
    </row>
    <row r="629" spans="1:30">
      <c r="A629">
        <v>3669</v>
      </c>
      <c r="B629" t="s">
        <v>1165</v>
      </c>
      <c r="C629">
        <v>14.05</v>
      </c>
      <c r="Y629" s="46"/>
      <c r="Z629" s="46"/>
      <c r="AD629" s="46"/>
    </row>
    <row r="630" spans="1:30">
      <c r="A630">
        <v>3673</v>
      </c>
      <c r="B630" t="s">
        <v>1166</v>
      </c>
      <c r="C630">
        <v>84.1</v>
      </c>
      <c r="Y630" s="46"/>
      <c r="Z630" s="46"/>
      <c r="AA630" s="46"/>
      <c r="AD630" s="46"/>
    </row>
    <row r="631" spans="1:30">
      <c r="A631">
        <v>3679</v>
      </c>
      <c r="B631" t="s">
        <v>1167</v>
      </c>
      <c r="C631">
        <v>42.1</v>
      </c>
      <c r="Y631" s="46"/>
      <c r="Z631" s="46"/>
      <c r="AA631" s="46"/>
      <c r="AD631" s="46"/>
    </row>
    <row r="632" spans="1:30">
      <c r="A632">
        <v>3682</v>
      </c>
      <c r="B632" t="s">
        <v>1168</v>
      </c>
      <c r="C632">
        <v>11.25</v>
      </c>
      <c r="Y632" s="46"/>
      <c r="Z632" s="46"/>
      <c r="AD632" s="46"/>
    </row>
    <row r="633" spans="1:30">
      <c r="A633">
        <v>3686</v>
      </c>
      <c r="B633" t="s">
        <v>1169</v>
      </c>
      <c r="C633">
        <v>10.95</v>
      </c>
      <c r="Y633" s="46"/>
      <c r="Z633" s="46"/>
      <c r="AA633" s="46"/>
      <c r="AD633" s="46"/>
    </row>
    <row r="634" spans="1:30">
      <c r="A634">
        <v>3694</v>
      </c>
      <c r="B634" t="s">
        <v>1170</v>
      </c>
      <c r="C634">
        <v>17.149999999999999</v>
      </c>
      <c r="Y634" s="46"/>
      <c r="Z634" s="46"/>
      <c r="AD634" s="46"/>
    </row>
    <row r="635" spans="1:30">
      <c r="A635">
        <v>3698</v>
      </c>
      <c r="B635" t="s">
        <v>1171</v>
      </c>
      <c r="C635">
        <v>16.600000000000001</v>
      </c>
      <c r="Y635" s="46"/>
      <c r="Z635" s="46"/>
      <c r="AD635" s="46"/>
    </row>
    <row r="636" spans="1:30">
      <c r="A636">
        <v>3701</v>
      </c>
      <c r="B636" t="s">
        <v>1172</v>
      </c>
      <c r="C636">
        <v>9</v>
      </c>
      <c r="Y636" s="46"/>
      <c r="Z636" s="46"/>
      <c r="AA636" s="46"/>
      <c r="AD636" s="46"/>
    </row>
    <row r="637" spans="1:30">
      <c r="A637">
        <v>3702</v>
      </c>
      <c r="B637" t="s">
        <v>1173</v>
      </c>
      <c r="C637">
        <v>32</v>
      </c>
      <c r="Y637" s="46"/>
      <c r="Z637" s="46"/>
      <c r="AD637" s="46"/>
    </row>
    <row r="638" spans="1:30">
      <c r="A638">
        <v>3703</v>
      </c>
      <c r="B638" t="s">
        <v>1174</v>
      </c>
      <c r="C638">
        <v>9.84</v>
      </c>
      <c r="Y638" s="46"/>
      <c r="Z638" s="46"/>
      <c r="AD638" s="46"/>
    </row>
    <row r="639" spans="1:30">
      <c r="A639">
        <v>3704</v>
      </c>
      <c r="B639" t="s">
        <v>1175</v>
      </c>
      <c r="C639">
        <v>12.9</v>
      </c>
      <c r="Y639" s="46"/>
      <c r="Z639" s="46"/>
      <c r="AA639" s="46"/>
      <c r="AD639" s="46"/>
    </row>
    <row r="640" spans="1:30">
      <c r="A640">
        <v>3705</v>
      </c>
      <c r="B640" t="s">
        <v>1176</v>
      </c>
      <c r="C640">
        <v>48.2</v>
      </c>
      <c r="Y640" s="46"/>
      <c r="Z640" s="46"/>
      <c r="AD640" s="46"/>
    </row>
    <row r="641" spans="1:30">
      <c r="A641">
        <v>3706</v>
      </c>
      <c r="B641" t="s">
        <v>1177</v>
      </c>
      <c r="C641">
        <v>25.05</v>
      </c>
      <c r="Y641" s="46"/>
      <c r="Z641" s="46"/>
      <c r="AA641" s="46"/>
      <c r="AD641" s="46"/>
    </row>
    <row r="642" spans="1:30">
      <c r="A642">
        <v>4104</v>
      </c>
      <c r="B642" t="s">
        <v>1178</v>
      </c>
      <c r="C642">
        <v>49.6</v>
      </c>
      <c r="Y642" s="46"/>
      <c r="Z642" s="46"/>
      <c r="AD642" s="46"/>
    </row>
    <row r="643" spans="1:30">
      <c r="A643">
        <v>4106</v>
      </c>
      <c r="B643" t="s">
        <v>1179</v>
      </c>
      <c r="C643">
        <v>36.9</v>
      </c>
      <c r="Y643" s="46"/>
      <c r="Z643" s="46"/>
      <c r="AA643" s="46"/>
      <c r="AD643" s="46"/>
    </row>
    <row r="644" spans="1:30">
      <c r="A644">
        <v>4108</v>
      </c>
      <c r="B644" t="s">
        <v>1180</v>
      </c>
      <c r="C644">
        <v>27.7</v>
      </c>
      <c r="Y644" s="46"/>
      <c r="Z644" s="46"/>
      <c r="AA644" s="46"/>
      <c r="AD644" s="46"/>
    </row>
    <row r="645" spans="1:30">
      <c r="A645">
        <v>4119</v>
      </c>
      <c r="B645" t="s">
        <v>1181</v>
      </c>
      <c r="C645">
        <v>89.1</v>
      </c>
      <c r="Y645" s="46"/>
      <c r="Z645" s="46"/>
      <c r="AA645" s="46"/>
      <c r="AD645" s="46"/>
    </row>
    <row r="646" spans="1:30">
      <c r="A646">
        <v>4133</v>
      </c>
      <c r="B646" t="s">
        <v>1182</v>
      </c>
      <c r="C646">
        <v>32.9</v>
      </c>
      <c r="Y646" s="46"/>
      <c r="Z646" s="46"/>
      <c r="AA646" s="46"/>
      <c r="AD646" s="46"/>
    </row>
    <row r="647" spans="1:30">
      <c r="A647">
        <v>4137</v>
      </c>
      <c r="B647" t="s">
        <v>1183</v>
      </c>
      <c r="C647">
        <v>326.5</v>
      </c>
      <c r="Y647" s="46"/>
      <c r="Z647" s="46"/>
      <c r="AA647" s="46"/>
      <c r="AD647" s="46"/>
    </row>
    <row r="648" spans="1:30">
      <c r="A648">
        <v>4141</v>
      </c>
      <c r="B648" t="s">
        <v>1184</v>
      </c>
      <c r="C648">
        <v>29.9</v>
      </c>
      <c r="Y648" s="46"/>
      <c r="Z648" s="46"/>
      <c r="AA648" s="46"/>
      <c r="AD648" s="46"/>
    </row>
    <row r="649" spans="1:30">
      <c r="A649">
        <v>4142</v>
      </c>
      <c r="B649" t="s">
        <v>1185</v>
      </c>
      <c r="C649">
        <v>25</v>
      </c>
      <c r="Y649" s="46"/>
      <c r="Z649" s="46"/>
      <c r="AA649" s="46"/>
      <c r="AD649" s="46"/>
    </row>
    <row r="650" spans="1:30">
      <c r="A650">
        <v>4144</v>
      </c>
      <c r="B650" t="s">
        <v>1186</v>
      </c>
      <c r="C650">
        <v>55.3</v>
      </c>
      <c r="Y650" s="46"/>
      <c r="Z650" s="46"/>
      <c r="AA650" s="46"/>
      <c r="AD650" s="46"/>
    </row>
    <row r="651" spans="1:30">
      <c r="A651">
        <v>4164</v>
      </c>
      <c r="B651" t="s">
        <v>1187</v>
      </c>
      <c r="C651">
        <v>58.6</v>
      </c>
      <c r="Y651" s="46"/>
      <c r="Z651" s="46"/>
      <c r="AA651" s="46"/>
      <c r="AD651" s="46"/>
    </row>
    <row r="652" spans="1:30">
      <c r="A652">
        <v>4190</v>
      </c>
      <c r="B652" t="s">
        <v>1875</v>
      </c>
      <c r="C652">
        <v>136.5</v>
      </c>
      <c r="Y652" s="46"/>
      <c r="Z652" s="46"/>
      <c r="AA652" s="46"/>
      <c r="AD652" s="46"/>
    </row>
    <row r="653" spans="1:30">
      <c r="A653">
        <v>4306</v>
      </c>
      <c r="B653" t="s">
        <v>1188</v>
      </c>
      <c r="C653">
        <v>11.9</v>
      </c>
      <c r="Y653" s="46"/>
      <c r="Z653" s="46"/>
      <c r="AA653" s="46"/>
      <c r="AD653" s="46"/>
    </row>
    <row r="654" spans="1:30">
      <c r="A654">
        <v>4414</v>
      </c>
      <c r="B654" t="s">
        <v>1189</v>
      </c>
      <c r="C654">
        <v>21.5</v>
      </c>
      <c r="Y654" s="46"/>
      <c r="Z654" s="46"/>
      <c r="AA654" s="46"/>
      <c r="AD654" s="46"/>
    </row>
    <row r="655" spans="1:30">
      <c r="A655">
        <v>4426</v>
      </c>
      <c r="B655" t="s">
        <v>1190</v>
      </c>
      <c r="C655">
        <v>152</v>
      </c>
      <c r="Y655" s="46"/>
      <c r="Z655" s="46"/>
      <c r="AD655" s="46"/>
    </row>
    <row r="656" spans="1:30">
      <c r="A656">
        <v>4526</v>
      </c>
      <c r="B656" t="s">
        <v>1191</v>
      </c>
      <c r="C656">
        <v>22.95</v>
      </c>
      <c r="Y656" s="46"/>
      <c r="Z656" s="46"/>
      <c r="AA656" s="46"/>
      <c r="AD656" s="46"/>
    </row>
    <row r="657" spans="1:30">
      <c r="A657">
        <v>4532</v>
      </c>
      <c r="B657" t="s">
        <v>1192</v>
      </c>
      <c r="C657">
        <v>24.6</v>
      </c>
      <c r="Y657" s="46"/>
      <c r="Z657" s="46"/>
      <c r="AD657" s="46"/>
    </row>
    <row r="658" spans="1:30">
      <c r="A658">
        <v>4536</v>
      </c>
      <c r="B658" t="s">
        <v>1193</v>
      </c>
      <c r="C658">
        <v>115</v>
      </c>
      <c r="Y658" s="46"/>
      <c r="Z658" s="46"/>
      <c r="AA658" s="46"/>
      <c r="AD658" s="46"/>
    </row>
    <row r="659" spans="1:30">
      <c r="A659">
        <v>4551</v>
      </c>
      <c r="B659" t="s">
        <v>1194</v>
      </c>
      <c r="C659">
        <v>72.099999999999994</v>
      </c>
      <c r="Y659" s="46"/>
      <c r="Z659" s="46"/>
      <c r="AA659" s="46"/>
      <c r="AD659" s="46"/>
    </row>
    <row r="660" spans="1:30">
      <c r="A660">
        <v>4555</v>
      </c>
      <c r="B660" t="s">
        <v>1893</v>
      </c>
      <c r="C660">
        <v>73</v>
      </c>
      <c r="Y660" s="46"/>
      <c r="Z660" s="46"/>
      <c r="AD660" s="46"/>
    </row>
    <row r="661" spans="1:30">
      <c r="A661">
        <v>4557</v>
      </c>
      <c r="B661" t="s">
        <v>1195</v>
      </c>
      <c r="C661">
        <v>70.900000000000006</v>
      </c>
      <c r="Y661" s="46"/>
      <c r="Z661" s="46"/>
      <c r="AA661" s="46"/>
      <c r="AD661" s="46"/>
    </row>
    <row r="662" spans="1:30">
      <c r="A662">
        <v>4720</v>
      </c>
      <c r="B662" t="s">
        <v>1196</v>
      </c>
      <c r="C662">
        <v>16.2</v>
      </c>
      <c r="Y662" s="46"/>
      <c r="Z662" s="46"/>
      <c r="AD662" s="46"/>
    </row>
    <row r="663" spans="1:30">
      <c r="A663">
        <v>4722</v>
      </c>
      <c r="B663" t="s">
        <v>1197</v>
      </c>
      <c r="C663">
        <v>30.7</v>
      </c>
      <c r="Y663" s="46"/>
      <c r="Z663" s="46"/>
      <c r="AD663" s="46"/>
    </row>
    <row r="664" spans="1:30">
      <c r="A664">
        <v>4725</v>
      </c>
      <c r="B664" t="s">
        <v>1198</v>
      </c>
      <c r="C664">
        <v>14.6</v>
      </c>
      <c r="Y664" s="46"/>
      <c r="Z664" s="46"/>
      <c r="AA664" s="46"/>
      <c r="AD664" s="46"/>
    </row>
    <row r="665" spans="1:30">
      <c r="A665">
        <v>4733</v>
      </c>
      <c r="B665" t="s">
        <v>1199</v>
      </c>
      <c r="C665">
        <v>167</v>
      </c>
      <c r="Y665" s="46"/>
      <c r="Z665" s="46"/>
      <c r="AA665" s="46"/>
      <c r="AD665" s="46"/>
    </row>
    <row r="666" spans="1:30">
      <c r="A666">
        <v>4737</v>
      </c>
      <c r="B666" t="s">
        <v>1200</v>
      </c>
      <c r="C666">
        <v>60.9</v>
      </c>
      <c r="Y666" s="46"/>
      <c r="Z666" s="46"/>
      <c r="AA666" s="46"/>
      <c r="AD666" s="46"/>
    </row>
    <row r="667" spans="1:30">
      <c r="A667">
        <v>4746</v>
      </c>
      <c r="B667" t="s">
        <v>1201</v>
      </c>
      <c r="C667">
        <v>67</v>
      </c>
      <c r="Y667" s="46"/>
      <c r="Z667" s="46"/>
      <c r="AA667" s="46"/>
      <c r="AD667" s="46"/>
    </row>
    <row r="668" spans="1:30">
      <c r="A668">
        <v>4755</v>
      </c>
      <c r="B668" t="s">
        <v>1202</v>
      </c>
      <c r="C668">
        <v>22.3</v>
      </c>
      <c r="Y668" s="46"/>
      <c r="Z668" s="46"/>
      <c r="AA668" s="46"/>
      <c r="AD668" s="46"/>
    </row>
    <row r="669" spans="1:30">
      <c r="A669">
        <v>4763</v>
      </c>
      <c r="B669" t="s">
        <v>1923</v>
      </c>
      <c r="C669">
        <v>89.6</v>
      </c>
      <c r="Y669" s="46"/>
      <c r="Z669" s="46"/>
      <c r="AA669" s="46"/>
      <c r="AD669" s="46"/>
    </row>
    <row r="670" spans="1:30">
      <c r="A670">
        <v>4904</v>
      </c>
      <c r="B670" t="s">
        <v>1203</v>
      </c>
      <c r="C670">
        <v>66.599999999999994</v>
      </c>
      <c r="Y670" s="46"/>
      <c r="Z670" s="46"/>
      <c r="AA670" s="46"/>
      <c r="AD670" s="46"/>
    </row>
    <row r="671" spans="1:30">
      <c r="A671">
        <v>4906</v>
      </c>
      <c r="B671" t="s">
        <v>1204</v>
      </c>
      <c r="C671">
        <v>16.850000000000001</v>
      </c>
      <c r="Y671" s="46"/>
      <c r="Z671" s="46"/>
      <c r="AA671" s="46"/>
      <c r="AD671" s="46"/>
    </row>
    <row r="672" spans="1:30">
      <c r="A672">
        <v>4912</v>
      </c>
      <c r="B672" t="s">
        <v>1205</v>
      </c>
      <c r="C672">
        <v>87.5</v>
      </c>
      <c r="Y672" s="46"/>
      <c r="Z672" s="46"/>
      <c r="AA672" s="46"/>
      <c r="AD672" s="46"/>
    </row>
    <row r="673" spans="1:30">
      <c r="A673">
        <v>4915</v>
      </c>
      <c r="B673" t="s">
        <v>1206</v>
      </c>
      <c r="C673">
        <v>43.2</v>
      </c>
      <c r="Y673" s="46"/>
      <c r="Z673" s="46"/>
      <c r="AA673" s="46"/>
      <c r="AD673" s="46"/>
    </row>
    <row r="674" spans="1:30">
      <c r="A674">
        <v>4916</v>
      </c>
      <c r="B674" t="s">
        <v>1207</v>
      </c>
      <c r="C674">
        <v>21.25</v>
      </c>
      <c r="Y674" s="46"/>
      <c r="Z674" s="46"/>
      <c r="AA674" s="46"/>
      <c r="AD674" s="46"/>
    </row>
    <row r="675" spans="1:30">
      <c r="A675">
        <v>4919</v>
      </c>
      <c r="B675" t="s">
        <v>1208</v>
      </c>
      <c r="C675">
        <v>31.05</v>
      </c>
      <c r="Y675" s="46"/>
      <c r="Z675" s="46"/>
      <c r="AD675" s="46"/>
    </row>
    <row r="676" spans="1:30">
      <c r="A676">
        <v>4927</v>
      </c>
      <c r="B676" t="s">
        <v>1209</v>
      </c>
      <c r="C676">
        <v>38.5</v>
      </c>
      <c r="Y676" s="46"/>
      <c r="Z676" s="46"/>
      <c r="AA676" s="46"/>
      <c r="AD676" s="46"/>
    </row>
    <row r="677" spans="1:30">
      <c r="A677">
        <v>4930</v>
      </c>
      <c r="B677" t="s">
        <v>1210</v>
      </c>
      <c r="C677">
        <v>15.2</v>
      </c>
      <c r="Y677" s="46"/>
      <c r="Z677" s="46"/>
      <c r="AA677" s="46"/>
      <c r="AD677" s="46"/>
    </row>
    <row r="678" spans="1:30">
      <c r="A678">
        <v>4934</v>
      </c>
      <c r="B678" t="s">
        <v>1211</v>
      </c>
      <c r="C678">
        <v>22.05</v>
      </c>
      <c r="Y678" s="46"/>
      <c r="Z678" s="46"/>
      <c r="AA678" s="46"/>
      <c r="AD678" s="46"/>
    </row>
    <row r="679" spans="1:30">
      <c r="A679">
        <v>4935</v>
      </c>
      <c r="B679" t="s">
        <v>1212</v>
      </c>
      <c r="C679">
        <v>72.599999999999994</v>
      </c>
      <c r="Y679" s="46"/>
      <c r="Z679" s="46"/>
      <c r="AD679" s="46"/>
    </row>
    <row r="680" spans="1:30">
      <c r="A680">
        <v>4938</v>
      </c>
      <c r="B680" t="s">
        <v>1213</v>
      </c>
      <c r="C680">
        <v>78.400000000000006</v>
      </c>
      <c r="Y680" s="46"/>
      <c r="Z680" s="46"/>
      <c r="AA680" s="46"/>
      <c r="AD680" s="46"/>
    </row>
    <row r="681" spans="1:30">
      <c r="A681">
        <v>4942</v>
      </c>
      <c r="B681" t="s">
        <v>1214</v>
      </c>
      <c r="C681">
        <v>24.9</v>
      </c>
      <c r="Y681" s="46"/>
      <c r="Z681" s="46"/>
      <c r="AD681" s="46"/>
    </row>
    <row r="682" spans="1:30">
      <c r="A682">
        <v>4952</v>
      </c>
      <c r="B682" t="s">
        <v>1215</v>
      </c>
      <c r="C682">
        <v>39</v>
      </c>
      <c r="Y682" s="46"/>
      <c r="Z682" s="46"/>
      <c r="AA682" s="46"/>
      <c r="AD682" s="46"/>
    </row>
    <row r="683" spans="1:30">
      <c r="A683">
        <v>4956</v>
      </c>
      <c r="B683" t="s">
        <v>1216</v>
      </c>
      <c r="C683">
        <v>13.3</v>
      </c>
      <c r="Y683" s="46"/>
      <c r="Z683" s="46"/>
      <c r="AD683" s="46"/>
    </row>
    <row r="684" spans="1:30">
      <c r="A684">
        <v>4958</v>
      </c>
      <c r="B684" t="s">
        <v>1217</v>
      </c>
      <c r="C684">
        <v>78</v>
      </c>
      <c r="Y684" s="46"/>
      <c r="Z684" s="46"/>
      <c r="AD684" s="46"/>
    </row>
    <row r="685" spans="1:30">
      <c r="A685">
        <v>4960</v>
      </c>
      <c r="B685" t="s">
        <v>1218</v>
      </c>
      <c r="C685">
        <v>20.8</v>
      </c>
      <c r="Y685" s="46"/>
      <c r="Z685" s="46"/>
      <c r="AD685" s="46"/>
    </row>
    <row r="686" spans="1:30">
      <c r="A686">
        <v>4968</v>
      </c>
      <c r="B686" t="s">
        <v>1931</v>
      </c>
      <c r="C686">
        <v>82.7</v>
      </c>
      <c r="Y686" s="46"/>
      <c r="Z686" s="46"/>
      <c r="AD686" s="46"/>
    </row>
    <row r="687" spans="1:30">
      <c r="A687">
        <v>4976</v>
      </c>
      <c r="B687" t="s">
        <v>1219</v>
      </c>
      <c r="C687">
        <v>14.9</v>
      </c>
      <c r="Y687" s="46"/>
      <c r="Z687" s="46"/>
      <c r="AA687" s="46"/>
      <c r="AD687" s="46"/>
    </row>
    <row r="688" spans="1:30">
      <c r="A688">
        <v>4977</v>
      </c>
      <c r="B688" t="s">
        <v>1220</v>
      </c>
      <c r="C688">
        <v>57.7</v>
      </c>
      <c r="Y688" s="46"/>
      <c r="Z688" s="46"/>
      <c r="AA688" s="46"/>
      <c r="AD688" s="46"/>
    </row>
    <row r="689" spans="1:30">
      <c r="A689">
        <v>4984</v>
      </c>
      <c r="B689" t="s">
        <v>1221</v>
      </c>
      <c r="C689">
        <v>44.75</v>
      </c>
      <c r="Y689" s="46"/>
      <c r="Z689" s="46"/>
      <c r="AD689" s="46"/>
    </row>
    <row r="690" spans="1:30">
      <c r="A690">
        <v>4994</v>
      </c>
      <c r="B690" t="s">
        <v>1222</v>
      </c>
      <c r="C690">
        <v>72</v>
      </c>
      <c r="Y690" s="46"/>
      <c r="Z690" s="46"/>
      <c r="AA690" s="46"/>
      <c r="AD690" s="46"/>
    </row>
    <row r="691" spans="1:30">
      <c r="A691">
        <v>4999</v>
      </c>
      <c r="B691" t="s">
        <v>1223</v>
      </c>
      <c r="C691">
        <v>41.4</v>
      </c>
      <c r="Y691" s="46"/>
      <c r="Z691" s="46"/>
      <c r="AA691" s="46"/>
      <c r="AD691" s="46"/>
    </row>
    <row r="692" spans="1:30">
      <c r="A692">
        <v>5007</v>
      </c>
      <c r="B692" t="s">
        <v>1224</v>
      </c>
      <c r="C692">
        <v>60.7</v>
      </c>
      <c r="Y692" s="46"/>
      <c r="Z692" s="46"/>
      <c r="AA692" s="46"/>
      <c r="AD692" s="46"/>
    </row>
    <row r="693" spans="1:30">
      <c r="A693">
        <v>5203</v>
      </c>
      <c r="B693" t="s">
        <v>1225</v>
      </c>
      <c r="C693">
        <v>69.099999999999994</v>
      </c>
      <c r="Y693" s="46"/>
      <c r="Z693" s="46"/>
      <c r="AD693" s="46"/>
    </row>
    <row r="694" spans="1:30">
      <c r="A694">
        <v>5215</v>
      </c>
      <c r="B694" t="s">
        <v>1226</v>
      </c>
      <c r="C694">
        <v>40.6</v>
      </c>
      <c r="Y694" s="46"/>
      <c r="Z694" s="46"/>
      <c r="AA694" s="46"/>
      <c r="AD694" s="46"/>
    </row>
    <row r="695" spans="1:30">
      <c r="A695">
        <v>5225</v>
      </c>
      <c r="B695" t="s">
        <v>1227</v>
      </c>
      <c r="C695">
        <v>49.15</v>
      </c>
      <c r="Y695" s="46"/>
      <c r="Z695" s="46"/>
      <c r="AA695" s="46"/>
      <c r="AD695" s="46"/>
    </row>
    <row r="696" spans="1:30">
      <c r="A696">
        <v>5234</v>
      </c>
      <c r="B696" t="s">
        <v>1228</v>
      </c>
      <c r="C696">
        <v>30.15</v>
      </c>
      <c r="Y696" s="46"/>
      <c r="Z696" s="46"/>
      <c r="AA696" s="46"/>
      <c r="AD696" s="46"/>
    </row>
    <row r="697" spans="1:30">
      <c r="A697">
        <v>5243</v>
      </c>
      <c r="B697" t="s">
        <v>1229</v>
      </c>
      <c r="C697">
        <v>28.8</v>
      </c>
      <c r="Y697" s="46"/>
      <c r="Z697" s="46"/>
      <c r="AD697" s="46"/>
    </row>
    <row r="698" spans="1:30">
      <c r="A698">
        <v>5259</v>
      </c>
      <c r="B698" t="s">
        <v>1230</v>
      </c>
      <c r="C698">
        <v>6.9</v>
      </c>
      <c r="Y698" s="46"/>
      <c r="Z698" s="46"/>
      <c r="AD698" s="46"/>
    </row>
    <row r="699" spans="1:30">
      <c r="A699">
        <v>5264</v>
      </c>
      <c r="B699" t="s">
        <v>1231</v>
      </c>
      <c r="C699">
        <v>151.5</v>
      </c>
      <c r="Y699" s="46"/>
      <c r="Z699" s="46"/>
      <c r="AA699" s="46"/>
      <c r="AD699" s="46"/>
    </row>
    <row r="700" spans="1:30">
      <c r="A700">
        <v>5269</v>
      </c>
      <c r="B700" t="s">
        <v>1232</v>
      </c>
      <c r="C700">
        <v>215</v>
      </c>
      <c r="Y700" s="46"/>
      <c r="Z700" s="46"/>
      <c r="AD700" s="46"/>
    </row>
    <row r="701" spans="1:30">
      <c r="A701">
        <v>5285</v>
      </c>
      <c r="B701" t="s">
        <v>1233</v>
      </c>
      <c r="C701">
        <v>29.8</v>
      </c>
      <c r="Y701" s="46"/>
      <c r="Z701" s="46"/>
      <c r="AA701" s="46"/>
      <c r="AD701" s="46"/>
    </row>
    <row r="702" spans="1:30">
      <c r="A702">
        <v>5288</v>
      </c>
      <c r="B702" t="s">
        <v>1234</v>
      </c>
      <c r="C702">
        <v>99.6</v>
      </c>
      <c r="Y702" s="46"/>
      <c r="Z702" s="46"/>
      <c r="AD702" s="46"/>
    </row>
    <row r="703" spans="1:30">
      <c r="A703">
        <v>5305</v>
      </c>
      <c r="B703" t="s">
        <v>1235</v>
      </c>
      <c r="C703">
        <v>20.55</v>
      </c>
      <c r="Y703" s="46"/>
      <c r="Z703" s="46"/>
      <c r="AD703" s="46"/>
    </row>
    <row r="704" spans="1:30">
      <c r="A704">
        <v>5388</v>
      </c>
      <c r="B704" t="s">
        <v>1236</v>
      </c>
      <c r="C704">
        <v>85.2</v>
      </c>
      <c r="Y704" s="46"/>
      <c r="Z704" s="46"/>
      <c r="AD704" s="46"/>
    </row>
    <row r="705" spans="1:30">
      <c r="A705">
        <v>5434</v>
      </c>
      <c r="B705" t="s">
        <v>1237</v>
      </c>
      <c r="C705">
        <v>54.1</v>
      </c>
      <c r="Y705" s="46"/>
      <c r="Z705" s="46"/>
      <c r="AD705" s="46"/>
    </row>
    <row r="706" spans="1:30">
      <c r="A706">
        <v>5469</v>
      </c>
      <c r="B706" t="s">
        <v>1238</v>
      </c>
      <c r="C706">
        <v>10.9</v>
      </c>
      <c r="Y706" s="46"/>
      <c r="Z706" s="46"/>
      <c r="AD706" s="46"/>
    </row>
    <row r="707" spans="1:30">
      <c r="A707">
        <v>5471</v>
      </c>
      <c r="B707" t="s">
        <v>1239</v>
      </c>
      <c r="C707">
        <v>35.049999999999997</v>
      </c>
      <c r="Y707" s="46"/>
      <c r="Z707" s="46"/>
      <c r="AD707" s="46"/>
    </row>
    <row r="708" spans="1:30">
      <c r="A708">
        <v>5484</v>
      </c>
      <c r="B708" t="s">
        <v>1240</v>
      </c>
      <c r="C708">
        <v>4.0999999999999996</v>
      </c>
      <c r="Y708" s="46"/>
      <c r="Z708" s="46"/>
      <c r="AD708" s="46"/>
    </row>
    <row r="709" spans="1:30">
      <c r="A709">
        <v>5515</v>
      </c>
      <c r="B709" t="s">
        <v>1241</v>
      </c>
      <c r="C709">
        <v>8.65</v>
      </c>
      <c r="Y709" s="46"/>
      <c r="Z709" s="46"/>
      <c r="AD709" s="46"/>
    </row>
    <row r="710" spans="1:30">
      <c r="A710">
        <v>5519</v>
      </c>
      <c r="B710" t="s">
        <v>1242</v>
      </c>
      <c r="C710">
        <v>13.55</v>
      </c>
    </row>
    <row r="711" spans="1:30">
      <c r="A711">
        <v>5521</v>
      </c>
      <c r="B711" t="s">
        <v>1243</v>
      </c>
      <c r="C711">
        <v>10.95</v>
      </c>
    </row>
    <row r="712" spans="1:30">
      <c r="A712">
        <v>5522</v>
      </c>
      <c r="B712" t="s">
        <v>1244</v>
      </c>
      <c r="C712">
        <v>34.75</v>
      </c>
    </row>
    <row r="713" spans="1:30">
      <c r="A713">
        <v>5525</v>
      </c>
      <c r="B713" t="s">
        <v>1245</v>
      </c>
      <c r="C713">
        <v>15.7</v>
      </c>
    </row>
    <row r="714" spans="1:30">
      <c r="A714">
        <v>5531</v>
      </c>
      <c r="B714" t="s">
        <v>1246</v>
      </c>
      <c r="C714">
        <v>10.5</v>
      </c>
    </row>
    <row r="715" spans="1:30">
      <c r="A715">
        <v>5533</v>
      </c>
      <c r="B715" t="s">
        <v>1247</v>
      </c>
      <c r="C715">
        <v>16.850000000000001</v>
      </c>
    </row>
    <row r="716" spans="1:30">
      <c r="A716">
        <v>5534</v>
      </c>
      <c r="B716" t="s">
        <v>1248</v>
      </c>
      <c r="C716">
        <v>44.9</v>
      </c>
    </row>
    <row r="717" spans="1:30">
      <c r="A717">
        <v>5538</v>
      </c>
      <c r="B717" t="s">
        <v>1249</v>
      </c>
      <c r="C717">
        <v>25.2</v>
      </c>
    </row>
    <row r="718" spans="1:30">
      <c r="A718">
        <v>5607</v>
      </c>
      <c r="B718" t="s">
        <v>1250</v>
      </c>
      <c r="C718">
        <v>14.75</v>
      </c>
    </row>
    <row r="719" spans="1:30">
      <c r="A719">
        <v>5608</v>
      </c>
      <c r="B719" t="s">
        <v>1251</v>
      </c>
      <c r="C719">
        <v>12.05</v>
      </c>
    </row>
    <row r="720" spans="1:30">
      <c r="A720">
        <v>5706</v>
      </c>
      <c r="B720" t="s">
        <v>1252</v>
      </c>
      <c r="C720">
        <v>39</v>
      </c>
    </row>
    <row r="721" spans="1:3">
      <c r="A721">
        <v>5871</v>
      </c>
      <c r="B721" t="s">
        <v>1253</v>
      </c>
      <c r="C721">
        <v>57</v>
      </c>
    </row>
    <row r="722" spans="1:3">
      <c r="A722">
        <v>5880</v>
      </c>
      <c r="B722" t="s">
        <v>1254</v>
      </c>
      <c r="C722">
        <v>13.95</v>
      </c>
    </row>
    <row r="723" spans="1:3">
      <c r="A723">
        <v>5906</v>
      </c>
      <c r="B723" t="s">
        <v>1255</v>
      </c>
      <c r="C723">
        <v>2.06</v>
      </c>
    </row>
    <row r="724" spans="1:3">
      <c r="A724">
        <v>5907</v>
      </c>
      <c r="B724" t="s">
        <v>1256</v>
      </c>
      <c r="C724">
        <v>28.65</v>
      </c>
    </row>
    <row r="725" spans="1:3">
      <c r="A725">
        <v>6005</v>
      </c>
      <c r="B725" t="s">
        <v>1257</v>
      </c>
      <c r="C725">
        <v>10</v>
      </c>
    </row>
    <row r="726" spans="1:3">
      <c r="A726">
        <v>6108</v>
      </c>
      <c r="B726" t="s">
        <v>1258</v>
      </c>
      <c r="C726">
        <v>11.9</v>
      </c>
    </row>
    <row r="727" spans="1:3">
      <c r="A727">
        <v>6112</v>
      </c>
      <c r="B727" t="s">
        <v>1259</v>
      </c>
      <c r="C727">
        <v>26.75</v>
      </c>
    </row>
    <row r="728" spans="1:3">
      <c r="A728">
        <v>6115</v>
      </c>
      <c r="B728" t="s">
        <v>1260</v>
      </c>
      <c r="C728">
        <v>33.5</v>
      </c>
    </row>
    <row r="729" spans="1:3">
      <c r="A729">
        <v>6116</v>
      </c>
      <c r="B729" t="s">
        <v>1261</v>
      </c>
      <c r="C729">
        <v>3.93</v>
      </c>
    </row>
    <row r="730" spans="1:3">
      <c r="A730">
        <v>6117</v>
      </c>
      <c r="B730" t="s">
        <v>1262</v>
      </c>
      <c r="C730">
        <v>14.8</v>
      </c>
    </row>
    <row r="731" spans="1:3">
      <c r="A731">
        <v>6120</v>
      </c>
      <c r="B731" t="s">
        <v>1263</v>
      </c>
      <c r="C731">
        <v>10.15</v>
      </c>
    </row>
    <row r="732" spans="1:3">
      <c r="A732">
        <v>6128</v>
      </c>
      <c r="B732" t="s">
        <v>1264</v>
      </c>
      <c r="C732">
        <v>34.200000000000003</v>
      </c>
    </row>
    <row r="733" spans="1:3">
      <c r="A733">
        <v>6131</v>
      </c>
      <c r="B733" t="s">
        <v>1265</v>
      </c>
      <c r="C733">
        <v>10</v>
      </c>
    </row>
    <row r="734" spans="1:3">
      <c r="A734">
        <v>6133</v>
      </c>
      <c r="B734" t="s">
        <v>1266</v>
      </c>
      <c r="C734">
        <v>10.4</v>
      </c>
    </row>
    <row r="735" spans="1:3">
      <c r="A735">
        <v>6136</v>
      </c>
      <c r="B735" t="s">
        <v>1267</v>
      </c>
      <c r="C735">
        <v>23.05</v>
      </c>
    </row>
    <row r="736" spans="1:3">
      <c r="A736">
        <v>6139</v>
      </c>
      <c r="B736" t="s">
        <v>1268</v>
      </c>
      <c r="C736">
        <v>18.149999999999999</v>
      </c>
    </row>
    <row r="737" spans="1:3">
      <c r="A737">
        <v>6141</v>
      </c>
      <c r="B737" t="s">
        <v>1269</v>
      </c>
      <c r="C737">
        <v>9.1999999999999993</v>
      </c>
    </row>
    <row r="738" spans="1:3">
      <c r="A738">
        <v>6142</v>
      </c>
      <c r="B738" t="s">
        <v>1270</v>
      </c>
      <c r="C738">
        <v>6</v>
      </c>
    </row>
    <row r="739" spans="1:3">
      <c r="A739">
        <v>6145</v>
      </c>
      <c r="B739" t="s">
        <v>1271</v>
      </c>
      <c r="C739">
        <v>11.45</v>
      </c>
    </row>
    <row r="740" spans="1:3">
      <c r="A740">
        <v>6152</v>
      </c>
      <c r="B740" t="s">
        <v>1272</v>
      </c>
      <c r="C740">
        <v>7.22</v>
      </c>
    </row>
    <row r="741" spans="1:3">
      <c r="A741">
        <v>6153</v>
      </c>
      <c r="B741" t="s">
        <v>1273</v>
      </c>
      <c r="C741">
        <v>25</v>
      </c>
    </row>
    <row r="742" spans="1:3">
      <c r="A742">
        <v>6155</v>
      </c>
      <c r="B742" t="s">
        <v>1274</v>
      </c>
      <c r="C742">
        <v>17.649999999999999</v>
      </c>
    </row>
    <row r="743" spans="1:3">
      <c r="A743">
        <v>6164</v>
      </c>
      <c r="B743" t="s">
        <v>1275</v>
      </c>
      <c r="C743">
        <v>10.199999999999999</v>
      </c>
    </row>
    <row r="744" spans="1:3">
      <c r="A744">
        <v>6165</v>
      </c>
      <c r="B744" t="s">
        <v>1276</v>
      </c>
      <c r="C744">
        <v>11.8</v>
      </c>
    </row>
    <row r="745" spans="1:3">
      <c r="A745">
        <v>6166</v>
      </c>
      <c r="B745" t="s">
        <v>1277</v>
      </c>
      <c r="C745">
        <v>78.3</v>
      </c>
    </row>
    <row r="746" spans="1:3">
      <c r="A746">
        <v>6168</v>
      </c>
      <c r="B746" t="s">
        <v>1278</v>
      </c>
      <c r="C746">
        <v>14.05</v>
      </c>
    </row>
    <row r="747" spans="1:3">
      <c r="A747">
        <v>6172</v>
      </c>
      <c r="B747" t="s">
        <v>1279</v>
      </c>
      <c r="C747">
        <v>7.01</v>
      </c>
    </row>
    <row r="748" spans="1:3">
      <c r="A748">
        <v>6176</v>
      </c>
      <c r="B748" t="s">
        <v>1280</v>
      </c>
      <c r="C748">
        <v>76.7</v>
      </c>
    </row>
    <row r="749" spans="1:3">
      <c r="A749">
        <v>6177</v>
      </c>
      <c r="B749" t="s">
        <v>1281</v>
      </c>
      <c r="C749">
        <v>21.3</v>
      </c>
    </row>
    <row r="750" spans="1:3">
      <c r="A750">
        <v>6183</v>
      </c>
      <c r="B750" t="s">
        <v>1282</v>
      </c>
      <c r="C750">
        <v>25.95</v>
      </c>
    </row>
    <row r="751" spans="1:3">
      <c r="A751">
        <v>6184</v>
      </c>
      <c r="B751" t="s">
        <v>1283</v>
      </c>
      <c r="C751">
        <v>51</v>
      </c>
    </row>
    <row r="752" spans="1:3">
      <c r="A752">
        <v>6189</v>
      </c>
      <c r="B752" t="s">
        <v>1284</v>
      </c>
      <c r="C752">
        <v>29.45</v>
      </c>
    </row>
    <row r="753" spans="1:3">
      <c r="A753">
        <v>6191</v>
      </c>
      <c r="B753" t="s">
        <v>1285</v>
      </c>
      <c r="C753">
        <v>7.1</v>
      </c>
    </row>
    <row r="754" spans="1:3">
      <c r="A754">
        <v>6192</v>
      </c>
      <c r="B754" t="s">
        <v>1286</v>
      </c>
      <c r="C754">
        <v>43.3</v>
      </c>
    </row>
    <row r="755" spans="1:3">
      <c r="A755">
        <v>6196</v>
      </c>
      <c r="B755" t="s">
        <v>1287</v>
      </c>
      <c r="C755">
        <v>23.85</v>
      </c>
    </row>
    <row r="756" spans="1:3">
      <c r="A756">
        <v>6197</v>
      </c>
      <c r="B756" t="s">
        <v>1288</v>
      </c>
      <c r="C756">
        <v>28.7</v>
      </c>
    </row>
    <row r="757" spans="1:3">
      <c r="A757">
        <v>6201</v>
      </c>
      <c r="B757" t="s">
        <v>1289</v>
      </c>
      <c r="C757">
        <v>25</v>
      </c>
    </row>
    <row r="758" spans="1:3">
      <c r="A758">
        <v>6202</v>
      </c>
      <c r="B758" t="s">
        <v>1290</v>
      </c>
      <c r="C758">
        <v>51.5</v>
      </c>
    </row>
    <row r="759" spans="1:3">
      <c r="A759">
        <v>6205</v>
      </c>
      <c r="B759" t="s">
        <v>1291</v>
      </c>
      <c r="C759">
        <v>26.6</v>
      </c>
    </row>
    <row r="760" spans="1:3">
      <c r="A760">
        <v>6206</v>
      </c>
      <c r="B760" t="s">
        <v>1292</v>
      </c>
      <c r="C760">
        <v>95.7</v>
      </c>
    </row>
    <row r="761" spans="1:3">
      <c r="A761">
        <v>6209</v>
      </c>
      <c r="B761" t="s">
        <v>1293</v>
      </c>
      <c r="C761">
        <v>14.95</v>
      </c>
    </row>
    <row r="762" spans="1:3">
      <c r="A762">
        <v>6213</v>
      </c>
      <c r="B762" t="s">
        <v>1294</v>
      </c>
      <c r="C762">
        <v>22</v>
      </c>
    </row>
    <row r="763" spans="1:3">
      <c r="A763">
        <v>6214</v>
      </c>
      <c r="B763" t="s">
        <v>1295</v>
      </c>
      <c r="C763">
        <v>53</v>
      </c>
    </row>
    <row r="764" spans="1:3">
      <c r="A764">
        <v>6215</v>
      </c>
      <c r="B764" t="s">
        <v>1296</v>
      </c>
      <c r="C764">
        <v>13</v>
      </c>
    </row>
    <row r="765" spans="1:3">
      <c r="A765">
        <v>6216</v>
      </c>
      <c r="B765" t="s">
        <v>1297</v>
      </c>
      <c r="C765">
        <v>26.85</v>
      </c>
    </row>
    <row r="766" spans="1:3">
      <c r="A766">
        <v>6224</v>
      </c>
      <c r="B766" t="s">
        <v>1298</v>
      </c>
      <c r="C766">
        <v>65.7</v>
      </c>
    </row>
    <row r="767" spans="1:3">
      <c r="A767">
        <v>6225</v>
      </c>
      <c r="B767" t="s">
        <v>1299</v>
      </c>
      <c r="C767">
        <v>3.15</v>
      </c>
    </row>
    <row r="768" spans="1:3">
      <c r="A768">
        <v>6226</v>
      </c>
      <c r="B768" t="s">
        <v>1300</v>
      </c>
      <c r="C768">
        <v>5.97</v>
      </c>
    </row>
    <row r="769" spans="1:3">
      <c r="A769">
        <v>6230</v>
      </c>
      <c r="B769" t="s">
        <v>1301</v>
      </c>
      <c r="C769">
        <v>120.5</v>
      </c>
    </row>
    <row r="770" spans="1:3">
      <c r="A770">
        <v>6235</v>
      </c>
      <c r="B770" t="s">
        <v>1302</v>
      </c>
      <c r="C770">
        <v>8.51</v>
      </c>
    </row>
    <row r="771" spans="1:3">
      <c r="A771">
        <v>6239</v>
      </c>
      <c r="B771" t="s">
        <v>1303</v>
      </c>
      <c r="C771">
        <v>65.099999999999994</v>
      </c>
    </row>
    <row r="772" spans="1:3">
      <c r="A772">
        <v>6243</v>
      </c>
      <c r="B772" t="s">
        <v>1304</v>
      </c>
      <c r="C772">
        <v>16.649999999999999</v>
      </c>
    </row>
    <row r="773" spans="1:3">
      <c r="A773">
        <v>6251</v>
      </c>
      <c r="B773" t="s">
        <v>1305</v>
      </c>
      <c r="C773">
        <v>9.3800000000000008</v>
      </c>
    </row>
    <row r="774" spans="1:3">
      <c r="A774">
        <v>6257</v>
      </c>
      <c r="B774" t="s">
        <v>1306</v>
      </c>
      <c r="C774">
        <v>22.6</v>
      </c>
    </row>
    <row r="775" spans="1:3">
      <c r="A775">
        <v>6269</v>
      </c>
      <c r="B775" t="s">
        <v>1307</v>
      </c>
      <c r="C775">
        <v>81.3</v>
      </c>
    </row>
    <row r="776" spans="1:3">
      <c r="A776">
        <v>6271</v>
      </c>
      <c r="B776" t="s">
        <v>1308</v>
      </c>
      <c r="C776">
        <v>78.099999999999994</v>
      </c>
    </row>
    <row r="777" spans="1:3">
      <c r="A777">
        <v>6277</v>
      </c>
      <c r="B777" t="s">
        <v>1309</v>
      </c>
      <c r="C777">
        <v>70</v>
      </c>
    </row>
    <row r="778" spans="1:3">
      <c r="A778">
        <v>6278</v>
      </c>
      <c r="B778" t="s">
        <v>1310</v>
      </c>
      <c r="C778">
        <v>29.95</v>
      </c>
    </row>
    <row r="779" spans="1:3">
      <c r="A779">
        <v>6281</v>
      </c>
      <c r="B779" t="s">
        <v>1311</v>
      </c>
      <c r="C779">
        <v>55.7</v>
      </c>
    </row>
    <row r="780" spans="1:3">
      <c r="A780">
        <v>6282</v>
      </c>
      <c r="B780" t="s">
        <v>1312</v>
      </c>
      <c r="C780">
        <v>23.9</v>
      </c>
    </row>
    <row r="781" spans="1:3">
      <c r="A781">
        <v>6283</v>
      </c>
      <c r="B781" t="s">
        <v>1313</v>
      </c>
      <c r="C781">
        <v>4.51</v>
      </c>
    </row>
    <row r="782" spans="1:3">
      <c r="A782">
        <v>6285</v>
      </c>
      <c r="B782" t="s">
        <v>1314</v>
      </c>
      <c r="C782">
        <v>86.5</v>
      </c>
    </row>
    <row r="783" spans="1:3">
      <c r="A783">
        <v>6286</v>
      </c>
      <c r="B783" t="s">
        <v>1315</v>
      </c>
      <c r="C783">
        <v>189</v>
      </c>
    </row>
    <row r="784" spans="1:3">
      <c r="A784">
        <v>6289</v>
      </c>
      <c r="B784" t="s">
        <v>1316</v>
      </c>
      <c r="C784">
        <v>1.07</v>
      </c>
    </row>
    <row r="785" spans="1:3">
      <c r="A785">
        <v>6405</v>
      </c>
      <c r="B785" t="s">
        <v>1317</v>
      </c>
      <c r="C785">
        <v>21.5</v>
      </c>
    </row>
    <row r="786" spans="1:3">
      <c r="A786">
        <v>6409</v>
      </c>
      <c r="B786" t="s">
        <v>1318</v>
      </c>
      <c r="C786">
        <v>487</v>
      </c>
    </row>
    <row r="787" spans="1:3">
      <c r="A787">
        <v>6412</v>
      </c>
      <c r="B787" t="s">
        <v>1319</v>
      </c>
      <c r="C787">
        <v>38</v>
      </c>
    </row>
    <row r="788" spans="1:3">
      <c r="A788">
        <v>6414</v>
      </c>
      <c r="B788" t="s">
        <v>1320</v>
      </c>
      <c r="C788">
        <v>371</v>
      </c>
    </row>
    <row r="789" spans="1:3">
      <c r="A789">
        <v>6415</v>
      </c>
      <c r="B789" t="s">
        <v>1321</v>
      </c>
      <c r="C789">
        <v>364</v>
      </c>
    </row>
    <row r="790" spans="1:3">
      <c r="A790">
        <v>6422</v>
      </c>
      <c r="B790" t="s">
        <v>1322</v>
      </c>
      <c r="C790">
        <v>50.3</v>
      </c>
    </row>
    <row r="791" spans="1:3">
      <c r="A791">
        <v>6431</v>
      </c>
      <c r="B791" t="s">
        <v>1323</v>
      </c>
      <c r="C791">
        <v>10</v>
      </c>
    </row>
    <row r="792" spans="1:3">
      <c r="A792">
        <v>6442</v>
      </c>
      <c r="B792" t="s">
        <v>1324</v>
      </c>
      <c r="C792">
        <v>50</v>
      </c>
    </row>
    <row r="793" spans="1:3">
      <c r="A793">
        <v>6443</v>
      </c>
      <c r="B793" t="s">
        <v>1325</v>
      </c>
      <c r="C793">
        <v>17.25</v>
      </c>
    </row>
    <row r="794" spans="1:3">
      <c r="A794">
        <v>6449</v>
      </c>
      <c r="B794" t="s">
        <v>1326</v>
      </c>
      <c r="C794">
        <v>28.8</v>
      </c>
    </row>
    <row r="795" spans="1:3">
      <c r="A795">
        <v>6451</v>
      </c>
      <c r="B795" t="s">
        <v>1327</v>
      </c>
      <c r="C795">
        <v>126</v>
      </c>
    </row>
    <row r="796" spans="1:3">
      <c r="A796">
        <v>6452</v>
      </c>
      <c r="B796" t="s">
        <v>1328</v>
      </c>
      <c r="C796">
        <v>358.5</v>
      </c>
    </row>
    <row r="797" spans="1:3">
      <c r="A797">
        <v>6456</v>
      </c>
      <c r="B797" t="s">
        <v>1329</v>
      </c>
      <c r="C797">
        <v>114</v>
      </c>
    </row>
    <row r="798" spans="1:3">
      <c r="A798">
        <v>6464</v>
      </c>
      <c r="B798" t="s">
        <v>2428</v>
      </c>
      <c r="C798">
        <v>122</v>
      </c>
    </row>
    <row r="799" spans="1:3">
      <c r="A799">
        <v>6504</v>
      </c>
      <c r="B799" t="s">
        <v>1330</v>
      </c>
      <c r="C799">
        <v>177</v>
      </c>
    </row>
    <row r="800" spans="1:3">
      <c r="A800">
        <v>6505</v>
      </c>
      <c r="B800" t="s">
        <v>1331</v>
      </c>
      <c r="C800">
        <v>78.7</v>
      </c>
    </row>
    <row r="801" spans="1:3">
      <c r="A801">
        <v>6605</v>
      </c>
      <c r="B801" t="s">
        <v>1332</v>
      </c>
      <c r="C801">
        <v>116</v>
      </c>
    </row>
    <row r="802" spans="1:3">
      <c r="A802">
        <v>6702</v>
      </c>
      <c r="B802" t="s">
        <v>1333</v>
      </c>
      <c r="C802">
        <v>8.1</v>
      </c>
    </row>
    <row r="803" spans="1:3">
      <c r="A803">
        <v>8011</v>
      </c>
      <c r="B803" t="s">
        <v>1334</v>
      </c>
      <c r="C803">
        <v>18.100000000000001</v>
      </c>
    </row>
    <row r="804" spans="1:3">
      <c r="A804">
        <v>8016</v>
      </c>
      <c r="B804" t="s">
        <v>1335</v>
      </c>
      <c r="C804">
        <v>90.5</v>
      </c>
    </row>
    <row r="805" spans="1:3">
      <c r="A805">
        <v>8021</v>
      </c>
      <c r="B805" t="s">
        <v>1336</v>
      </c>
      <c r="C805">
        <v>23.3</v>
      </c>
    </row>
    <row r="806" spans="1:3">
      <c r="A806">
        <v>8033</v>
      </c>
      <c r="B806" t="s">
        <v>1337</v>
      </c>
      <c r="C806">
        <v>9.42</v>
      </c>
    </row>
    <row r="807" spans="1:3">
      <c r="A807">
        <v>8039</v>
      </c>
      <c r="B807" t="s">
        <v>1338</v>
      </c>
      <c r="C807">
        <v>38.15</v>
      </c>
    </row>
    <row r="808" spans="1:3">
      <c r="A808">
        <v>8046</v>
      </c>
      <c r="B808" t="s">
        <v>1339</v>
      </c>
      <c r="C808">
        <v>35.049999999999997</v>
      </c>
    </row>
    <row r="809" spans="1:3">
      <c r="A809">
        <v>8070</v>
      </c>
      <c r="B809" t="s">
        <v>1340</v>
      </c>
      <c r="C809">
        <v>85.4</v>
      </c>
    </row>
    <row r="810" spans="1:3">
      <c r="A810">
        <v>8072</v>
      </c>
      <c r="B810" t="s">
        <v>1341</v>
      </c>
      <c r="C810">
        <v>25.3</v>
      </c>
    </row>
    <row r="811" spans="1:3">
      <c r="A811">
        <v>8081</v>
      </c>
      <c r="B811" t="s">
        <v>1342</v>
      </c>
      <c r="C811">
        <v>61.4</v>
      </c>
    </row>
    <row r="812" spans="1:3">
      <c r="A812">
        <v>8101</v>
      </c>
      <c r="B812" t="s">
        <v>1343</v>
      </c>
      <c r="C812">
        <v>7.74</v>
      </c>
    </row>
    <row r="813" spans="1:3">
      <c r="A813">
        <v>8103</v>
      </c>
      <c r="B813" t="s">
        <v>1344</v>
      </c>
      <c r="C813">
        <v>25</v>
      </c>
    </row>
    <row r="814" spans="1:3">
      <c r="A814">
        <v>8105</v>
      </c>
      <c r="B814" t="s">
        <v>1345</v>
      </c>
      <c r="C814">
        <v>19</v>
      </c>
    </row>
    <row r="815" spans="1:3">
      <c r="A815">
        <v>8110</v>
      </c>
      <c r="B815" t="s">
        <v>1346</v>
      </c>
      <c r="C815">
        <v>9.15</v>
      </c>
    </row>
    <row r="816" spans="1:3">
      <c r="A816">
        <v>8112</v>
      </c>
      <c r="B816" t="s">
        <v>1347</v>
      </c>
      <c r="C816">
        <v>12.9</v>
      </c>
    </row>
    <row r="817" spans="1:3">
      <c r="A817">
        <v>8114</v>
      </c>
      <c r="B817" t="s">
        <v>1348</v>
      </c>
      <c r="C817">
        <v>152.5</v>
      </c>
    </row>
    <row r="818" spans="1:3">
      <c r="A818">
        <v>8131</v>
      </c>
      <c r="B818" t="s">
        <v>1349</v>
      </c>
      <c r="C818">
        <v>20.5</v>
      </c>
    </row>
    <row r="819" spans="1:3">
      <c r="A819">
        <v>8150</v>
      </c>
      <c r="B819" t="s">
        <v>1350</v>
      </c>
      <c r="C819">
        <v>31.45</v>
      </c>
    </row>
    <row r="820" spans="1:3">
      <c r="A820">
        <v>8163</v>
      </c>
      <c r="B820" t="s">
        <v>1351</v>
      </c>
      <c r="C820">
        <v>18.25</v>
      </c>
    </row>
    <row r="821" spans="1:3">
      <c r="A821">
        <v>8201</v>
      </c>
      <c r="B821" t="s">
        <v>1352</v>
      </c>
      <c r="C821">
        <v>9.33</v>
      </c>
    </row>
    <row r="822" spans="1:3">
      <c r="A822">
        <v>8210</v>
      </c>
      <c r="B822" t="s">
        <v>1353</v>
      </c>
      <c r="C822">
        <v>44.1</v>
      </c>
    </row>
    <row r="823" spans="1:3">
      <c r="A823">
        <v>8213</v>
      </c>
      <c r="B823" t="s">
        <v>1354</v>
      </c>
      <c r="C823">
        <v>32.75</v>
      </c>
    </row>
    <row r="824" spans="1:3">
      <c r="A824">
        <v>8215</v>
      </c>
      <c r="B824" t="s">
        <v>1355</v>
      </c>
      <c r="C824">
        <v>20.9</v>
      </c>
    </row>
    <row r="825" spans="1:3">
      <c r="A825">
        <v>8222</v>
      </c>
      <c r="B825" t="s">
        <v>1356</v>
      </c>
      <c r="C825">
        <v>20.9</v>
      </c>
    </row>
    <row r="826" spans="1:3">
      <c r="A826">
        <v>8249</v>
      </c>
      <c r="B826" t="s">
        <v>1357</v>
      </c>
      <c r="C826">
        <v>22.1</v>
      </c>
    </row>
    <row r="827" spans="1:3">
      <c r="A827">
        <v>8261</v>
      </c>
      <c r="B827" t="s">
        <v>1358</v>
      </c>
      <c r="C827">
        <v>27.7</v>
      </c>
    </row>
    <row r="828" spans="1:3">
      <c r="A828">
        <v>8271</v>
      </c>
      <c r="B828" t="s">
        <v>1359</v>
      </c>
      <c r="C828">
        <v>17.7</v>
      </c>
    </row>
    <row r="829" spans="1:3">
      <c r="A829">
        <v>8341</v>
      </c>
      <c r="B829" t="s">
        <v>1360</v>
      </c>
      <c r="C829">
        <v>122.5</v>
      </c>
    </row>
    <row r="830" spans="1:3">
      <c r="A830">
        <v>8374</v>
      </c>
      <c r="B830" t="s">
        <v>1361</v>
      </c>
      <c r="C830">
        <v>10.3</v>
      </c>
    </row>
    <row r="831" spans="1:3">
      <c r="A831">
        <v>8404</v>
      </c>
      <c r="B831" t="s">
        <v>1362</v>
      </c>
      <c r="C831">
        <v>34.299999999999997</v>
      </c>
    </row>
    <row r="832" spans="1:3">
      <c r="A832">
        <v>8411</v>
      </c>
      <c r="B832" t="s">
        <v>1363</v>
      </c>
      <c r="C832">
        <v>26.2</v>
      </c>
    </row>
    <row r="833" spans="1:3">
      <c r="A833">
        <v>8422</v>
      </c>
      <c r="B833" t="s">
        <v>1364</v>
      </c>
      <c r="C833">
        <v>177</v>
      </c>
    </row>
    <row r="834" spans="1:3">
      <c r="A834">
        <v>8427</v>
      </c>
      <c r="B834" t="s">
        <v>1365</v>
      </c>
      <c r="C834">
        <v>52.6</v>
      </c>
    </row>
    <row r="835" spans="1:3">
      <c r="A835">
        <v>8429</v>
      </c>
      <c r="B835" t="s">
        <v>1366</v>
      </c>
      <c r="C835">
        <v>58</v>
      </c>
    </row>
    <row r="836" spans="1:3">
      <c r="A836">
        <v>8443</v>
      </c>
      <c r="B836" t="s">
        <v>1367</v>
      </c>
      <c r="C836">
        <v>22.1</v>
      </c>
    </row>
    <row r="837" spans="1:3">
      <c r="A837">
        <v>8454</v>
      </c>
      <c r="B837" t="s">
        <v>1368</v>
      </c>
      <c r="C837">
        <v>218</v>
      </c>
    </row>
    <row r="838" spans="1:3">
      <c r="A838">
        <v>8463</v>
      </c>
      <c r="B838" t="s">
        <v>1369</v>
      </c>
      <c r="C838">
        <v>24.15</v>
      </c>
    </row>
    <row r="839" spans="1:3">
      <c r="A839">
        <v>8464</v>
      </c>
      <c r="B839" t="s">
        <v>2456</v>
      </c>
      <c r="C839">
        <v>226</v>
      </c>
    </row>
    <row r="840" spans="1:3">
      <c r="A840">
        <v>8467</v>
      </c>
      <c r="B840" t="s">
        <v>2429</v>
      </c>
      <c r="C840">
        <v>66</v>
      </c>
    </row>
    <row r="841" spans="1:3">
      <c r="A841">
        <v>8926</v>
      </c>
      <c r="B841" t="s">
        <v>1370</v>
      </c>
      <c r="C841">
        <v>23.15</v>
      </c>
    </row>
    <row r="842" spans="1:3">
      <c r="A842">
        <v>8940</v>
      </c>
      <c r="B842" t="s">
        <v>1371</v>
      </c>
      <c r="C842">
        <v>16.600000000000001</v>
      </c>
    </row>
    <row r="843" spans="1:3">
      <c r="A843">
        <v>8996</v>
      </c>
      <c r="B843" t="s">
        <v>1372</v>
      </c>
      <c r="C843">
        <v>40.799999999999997</v>
      </c>
    </row>
    <row r="844" spans="1:3">
      <c r="A844">
        <v>9103</v>
      </c>
      <c r="B844" t="s">
        <v>1373</v>
      </c>
      <c r="C844">
        <v>1.9</v>
      </c>
    </row>
    <row r="845" spans="1:3">
      <c r="A845">
        <v>910322</v>
      </c>
      <c r="B845" t="s">
        <v>1374</v>
      </c>
      <c r="C845">
        <v>22.85</v>
      </c>
    </row>
    <row r="846" spans="1:3">
      <c r="A846">
        <v>910482</v>
      </c>
      <c r="B846" t="s">
        <v>1375</v>
      </c>
      <c r="C846">
        <v>2.0499999999999998</v>
      </c>
    </row>
    <row r="847" spans="1:3">
      <c r="A847">
        <v>9105</v>
      </c>
      <c r="B847" t="s">
        <v>1376</v>
      </c>
      <c r="C847">
        <v>3.24</v>
      </c>
    </row>
    <row r="848" spans="1:3">
      <c r="A848">
        <v>9106</v>
      </c>
      <c r="B848" t="s">
        <v>1377</v>
      </c>
      <c r="C848">
        <v>3.45</v>
      </c>
    </row>
    <row r="849" spans="1:15">
      <c r="A849">
        <v>910708</v>
      </c>
      <c r="B849" t="s">
        <v>1378</v>
      </c>
      <c r="C849" t="s">
        <v>1901</v>
      </c>
    </row>
    <row r="850" spans="1:15">
      <c r="A850">
        <v>910801</v>
      </c>
      <c r="B850" t="s">
        <v>1379</v>
      </c>
      <c r="C850">
        <v>5.18</v>
      </c>
    </row>
    <row r="851" spans="1:15">
      <c r="A851">
        <v>910861</v>
      </c>
      <c r="B851" t="s">
        <v>1380</v>
      </c>
      <c r="C851">
        <v>18.5</v>
      </c>
    </row>
    <row r="852" spans="1:15">
      <c r="A852">
        <v>9110</v>
      </c>
      <c r="B852" t="s">
        <v>1381</v>
      </c>
      <c r="C852">
        <v>3.77</v>
      </c>
    </row>
    <row r="853" spans="1:15">
      <c r="A853">
        <v>911608</v>
      </c>
      <c r="B853" t="s">
        <v>1382</v>
      </c>
      <c r="C853">
        <v>4.16</v>
      </c>
    </row>
    <row r="854" spans="1:15">
      <c r="A854">
        <v>911611</v>
      </c>
      <c r="B854" t="s">
        <v>1383</v>
      </c>
      <c r="C854">
        <v>0.64</v>
      </c>
    </row>
    <row r="855" spans="1:15">
      <c r="A855">
        <v>911612</v>
      </c>
      <c r="B855" t="s">
        <v>1384</v>
      </c>
      <c r="C855">
        <v>0.19</v>
      </c>
      <c r="O855" s="46"/>
    </row>
    <row r="856" spans="1:15">
      <c r="A856">
        <v>911616</v>
      </c>
      <c r="B856" t="s">
        <v>1385</v>
      </c>
      <c r="C856">
        <v>2.4300000000000002</v>
      </c>
    </row>
    <row r="857" spans="1:15">
      <c r="A857">
        <v>911619</v>
      </c>
      <c r="B857" t="s">
        <v>1386</v>
      </c>
      <c r="C857">
        <v>1.31</v>
      </c>
    </row>
    <row r="858" spans="1:15">
      <c r="A858">
        <v>911622</v>
      </c>
      <c r="B858" t="s">
        <v>1387</v>
      </c>
      <c r="C858">
        <v>12.5</v>
      </c>
    </row>
    <row r="859" spans="1:15">
      <c r="A859">
        <v>911626</v>
      </c>
      <c r="B859" t="s">
        <v>1388</v>
      </c>
      <c r="C859" t="s">
        <v>1901</v>
      </c>
    </row>
    <row r="860" spans="1:15">
      <c r="A860">
        <v>911868</v>
      </c>
      <c r="B860" t="s">
        <v>1389</v>
      </c>
      <c r="C860">
        <v>2.1800000000000002</v>
      </c>
    </row>
    <row r="861" spans="1:15">
      <c r="A861">
        <v>912000</v>
      </c>
      <c r="B861" t="s">
        <v>1390</v>
      </c>
      <c r="C861">
        <v>3.66</v>
      </c>
    </row>
    <row r="862" spans="1:15">
      <c r="A862">
        <v>912398</v>
      </c>
      <c r="B862" t="s">
        <v>1391</v>
      </c>
      <c r="C862">
        <v>7.69</v>
      </c>
    </row>
    <row r="863" spans="1:15">
      <c r="A863">
        <v>9136</v>
      </c>
      <c r="B863" t="s">
        <v>1392</v>
      </c>
      <c r="C863">
        <v>15.95</v>
      </c>
    </row>
    <row r="864" spans="1:15">
      <c r="A864">
        <v>913889</v>
      </c>
      <c r="B864" t="s">
        <v>1393</v>
      </c>
      <c r="C864">
        <v>1.44</v>
      </c>
      <c r="M864" s="46"/>
    </row>
    <row r="865" spans="1:3">
      <c r="A865">
        <v>9157</v>
      </c>
      <c r="B865" t="s">
        <v>1394</v>
      </c>
      <c r="C865">
        <v>1.39</v>
      </c>
    </row>
    <row r="866" spans="1:3">
      <c r="A866">
        <v>9188</v>
      </c>
      <c r="B866" t="s">
        <v>1395</v>
      </c>
      <c r="C866">
        <v>3.93</v>
      </c>
    </row>
    <row r="867" spans="1:3">
      <c r="A867">
        <v>9802</v>
      </c>
      <c r="B867" t="s">
        <v>1396</v>
      </c>
      <c r="C867">
        <v>52</v>
      </c>
    </row>
    <row r="868" spans="1:3">
      <c r="A868">
        <v>9902</v>
      </c>
      <c r="B868" t="s">
        <v>1397</v>
      </c>
      <c r="C868">
        <v>10</v>
      </c>
    </row>
    <row r="869" spans="1:3">
      <c r="A869">
        <v>9904</v>
      </c>
      <c r="B869" t="s">
        <v>1398</v>
      </c>
      <c r="C869">
        <v>43.4</v>
      </c>
    </row>
    <row r="870" spans="1:3">
      <c r="A870">
        <v>9905</v>
      </c>
      <c r="B870" t="s">
        <v>1399</v>
      </c>
      <c r="C870">
        <v>28.3</v>
      </c>
    </row>
    <row r="871" spans="1:3">
      <c r="A871">
        <v>9906</v>
      </c>
      <c r="B871" t="s">
        <v>1400</v>
      </c>
      <c r="C871">
        <v>13.3</v>
      </c>
    </row>
    <row r="872" spans="1:3">
      <c r="A872">
        <v>9907</v>
      </c>
      <c r="B872" t="s">
        <v>1401</v>
      </c>
      <c r="C872">
        <v>15.75</v>
      </c>
    </row>
    <row r="873" spans="1:3">
      <c r="A873">
        <v>9908</v>
      </c>
      <c r="B873" t="s">
        <v>1402</v>
      </c>
      <c r="C873">
        <v>22.15</v>
      </c>
    </row>
    <row r="874" spans="1:3">
      <c r="A874">
        <v>9910</v>
      </c>
      <c r="B874" t="s">
        <v>1403</v>
      </c>
      <c r="C874">
        <v>170</v>
      </c>
    </row>
    <row r="875" spans="1:3">
      <c r="A875">
        <v>9911</v>
      </c>
      <c r="B875" t="s">
        <v>1404</v>
      </c>
      <c r="C875">
        <v>18.25</v>
      </c>
    </row>
    <row r="876" spans="1:3">
      <c r="A876">
        <v>9912</v>
      </c>
      <c r="B876" t="s">
        <v>1405</v>
      </c>
      <c r="C876">
        <v>8.5500000000000007</v>
      </c>
    </row>
    <row r="877" spans="1:3">
      <c r="A877">
        <v>9914</v>
      </c>
      <c r="B877" t="s">
        <v>1406</v>
      </c>
      <c r="C877">
        <v>175</v>
      </c>
    </row>
    <row r="878" spans="1:3">
      <c r="A878">
        <v>9917</v>
      </c>
      <c r="B878" t="s">
        <v>1407</v>
      </c>
      <c r="C878">
        <v>91.4</v>
      </c>
    </row>
    <row r="879" spans="1:3">
      <c r="A879">
        <v>9918</v>
      </c>
      <c r="B879" t="s">
        <v>1408</v>
      </c>
      <c r="C879">
        <v>31.4</v>
      </c>
    </row>
    <row r="880" spans="1:3">
      <c r="A880">
        <v>9919</v>
      </c>
      <c r="B880" t="s">
        <v>1409</v>
      </c>
      <c r="C880">
        <v>11.95</v>
      </c>
    </row>
    <row r="881" spans="1:3">
      <c r="A881">
        <v>9921</v>
      </c>
      <c r="B881" t="s">
        <v>1410</v>
      </c>
      <c r="C881">
        <v>220</v>
      </c>
    </row>
    <row r="882" spans="1:3">
      <c r="A882">
        <v>9924</v>
      </c>
      <c r="B882" t="s">
        <v>1411</v>
      </c>
      <c r="C882">
        <v>44.1</v>
      </c>
    </row>
    <row r="883" spans="1:3">
      <c r="A883">
        <v>9925</v>
      </c>
      <c r="B883" t="s">
        <v>1412</v>
      </c>
      <c r="C883">
        <v>39</v>
      </c>
    </row>
    <row r="884" spans="1:3">
      <c r="A884">
        <v>9926</v>
      </c>
      <c r="B884" t="s">
        <v>1413</v>
      </c>
      <c r="C884">
        <v>40</v>
      </c>
    </row>
    <row r="885" spans="1:3">
      <c r="A885">
        <v>9927</v>
      </c>
      <c r="B885" t="s">
        <v>1414</v>
      </c>
      <c r="C885">
        <v>28.4</v>
      </c>
    </row>
    <row r="886" spans="1:3">
      <c r="A886">
        <v>9928</v>
      </c>
      <c r="B886" t="s">
        <v>1415</v>
      </c>
      <c r="C886">
        <v>9.5</v>
      </c>
    </row>
    <row r="887" spans="1:3">
      <c r="A887">
        <v>9929</v>
      </c>
      <c r="B887" t="s">
        <v>1416</v>
      </c>
      <c r="C887">
        <v>14.3</v>
      </c>
    </row>
    <row r="888" spans="1:3">
      <c r="A888">
        <v>9930</v>
      </c>
      <c r="B888" t="s">
        <v>1417</v>
      </c>
      <c r="C888">
        <v>59.8</v>
      </c>
    </row>
    <row r="889" spans="1:3">
      <c r="A889">
        <v>9931</v>
      </c>
      <c r="B889" t="s">
        <v>1418</v>
      </c>
      <c r="C889" t="s">
        <v>1901</v>
      </c>
    </row>
    <row r="890" spans="1:3">
      <c r="A890">
        <v>9933</v>
      </c>
      <c r="B890" t="s">
        <v>1419</v>
      </c>
      <c r="C890">
        <v>35</v>
      </c>
    </row>
    <row r="891" spans="1:3">
      <c r="A891">
        <v>9934</v>
      </c>
      <c r="B891" t="s">
        <v>1420</v>
      </c>
      <c r="C891">
        <v>14.3</v>
      </c>
    </row>
    <row r="892" spans="1:3">
      <c r="A892">
        <v>9935</v>
      </c>
      <c r="B892" t="s">
        <v>1421</v>
      </c>
      <c r="C892">
        <v>12.45</v>
      </c>
    </row>
    <row r="893" spans="1:3">
      <c r="A893">
        <v>9937</v>
      </c>
      <c r="B893" t="s">
        <v>1422</v>
      </c>
      <c r="C893">
        <v>35.9</v>
      </c>
    </row>
    <row r="894" spans="1:3">
      <c r="A894">
        <v>9938</v>
      </c>
      <c r="B894" t="s">
        <v>1423</v>
      </c>
      <c r="C894">
        <v>73.5</v>
      </c>
    </row>
    <row r="895" spans="1:3">
      <c r="A895">
        <v>9939</v>
      </c>
      <c r="B895" t="s">
        <v>1424</v>
      </c>
      <c r="C895">
        <v>47.7</v>
      </c>
    </row>
    <row r="896" spans="1:3">
      <c r="A896">
        <v>9940</v>
      </c>
      <c r="B896" t="s">
        <v>1425</v>
      </c>
      <c r="C896">
        <v>27.2</v>
      </c>
    </row>
    <row r="897" spans="1:3">
      <c r="A897">
        <v>9941</v>
      </c>
      <c r="B897" t="s">
        <v>1426</v>
      </c>
      <c r="C897">
        <v>74.3</v>
      </c>
    </row>
    <row r="898" spans="1:3">
      <c r="A898">
        <v>9942</v>
      </c>
      <c r="B898" t="s">
        <v>1427</v>
      </c>
      <c r="C898">
        <v>70.900000000000006</v>
      </c>
    </row>
    <row r="899" spans="1:3">
      <c r="A899">
        <v>9943</v>
      </c>
      <c r="B899" t="s">
        <v>1428</v>
      </c>
      <c r="C899">
        <v>52.5</v>
      </c>
    </row>
    <row r="900" spans="1:3">
      <c r="A900">
        <v>9944</v>
      </c>
      <c r="B900" t="s">
        <v>1429</v>
      </c>
      <c r="C900">
        <v>25</v>
      </c>
    </row>
    <row r="901" spans="1:3">
      <c r="A901">
        <v>9945</v>
      </c>
      <c r="B901" t="s">
        <v>1430</v>
      </c>
      <c r="C901">
        <v>43.6</v>
      </c>
    </row>
    <row r="902" spans="1:3">
      <c r="A902">
        <v>9946</v>
      </c>
      <c r="B902" t="s">
        <v>1431</v>
      </c>
      <c r="C902">
        <v>13.35</v>
      </c>
    </row>
    <row r="903" spans="1:3">
      <c r="A903">
        <v>9955</v>
      </c>
      <c r="B903" t="s">
        <v>1432</v>
      </c>
      <c r="C903">
        <v>12.8</v>
      </c>
    </row>
    <row r="904" spans="1:3">
      <c r="A904">
        <v>9958</v>
      </c>
      <c r="B904" t="s">
        <v>1433</v>
      </c>
      <c r="C904">
        <v>10.1</v>
      </c>
    </row>
    <row r="905" spans="1:3">
      <c r="A905">
        <v>6201</v>
      </c>
      <c r="B905" t="s">
        <v>1434</v>
      </c>
      <c r="C905">
        <v>11.2</v>
      </c>
    </row>
    <row r="906" spans="1:3">
      <c r="A906">
        <v>1256</v>
      </c>
      <c r="B906" t="s">
        <v>1435</v>
      </c>
      <c r="C906">
        <v>133.5</v>
      </c>
    </row>
    <row r="907" spans="1:3">
      <c r="A907">
        <v>1258</v>
      </c>
      <c r="B907" t="s">
        <v>1436</v>
      </c>
      <c r="C907">
        <v>39</v>
      </c>
    </row>
    <row r="908" spans="1:3">
      <c r="A908">
        <v>1259</v>
      </c>
      <c r="B908" t="s">
        <v>260</v>
      </c>
      <c r="C908">
        <v>73.3</v>
      </c>
    </row>
    <row r="909" spans="1:3">
      <c r="A909">
        <v>1264</v>
      </c>
      <c r="B909" t="s">
        <v>261</v>
      </c>
      <c r="C909">
        <v>177.5</v>
      </c>
    </row>
    <row r="910" spans="1:3">
      <c r="A910">
        <v>1333</v>
      </c>
      <c r="B910" t="s">
        <v>262</v>
      </c>
      <c r="C910">
        <v>5.19</v>
      </c>
    </row>
    <row r="911" spans="1:3">
      <c r="A911">
        <v>1336</v>
      </c>
      <c r="B911" t="s">
        <v>263</v>
      </c>
      <c r="C911">
        <v>8.02</v>
      </c>
    </row>
    <row r="912" spans="1:3">
      <c r="A912">
        <v>1565</v>
      </c>
      <c r="B912" t="s">
        <v>1437</v>
      </c>
      <c r="C912">
        <v>656</v>
      </c>
    </row>
    <row r="913" spans="1:3">
      <c r="A913">
        <v>1566</v>
      </c>
      <c r="B913" t="s">
        <v>264</v>
      </c>
      <c r="C913">
        <v>24.15</v>
      </c>
    </row>
    <row r="914" spans="1:3">
      <c r="A914">
        <v>1569</v>
      </c>
      <c r="B914" t="s">
        <v>265</v>
      </c>
      <c r="C914">
        <v>11.2</v>
      </c>
    </row>
    <row r="915" spans="1:3">
      <c r="A915">
        <v>1570</v>
      </c>
      <c r="B915" t="s">
        <v>1438</v>
      </c>
      <c r="C915">
        <v>16.3</v>
      </c>
    </row>
    <row r="916" spans="1:3">
      <c r="A916">
        <v>1580</v>
      </c>
      <c r="B916" t="s">
        <v>1439</v>
      </c>
      <c r="C916">
        <v>102.5</v>
      </c>
    </row>
    <row r="917" spans="1:3">
      <c r="A917">
        <v>1584</v>
      </c>
      <c r="B917" t="s">
        <v>1440</v>
      </c>
      <c r="C917">
        <v>14.45</v>
      </c>
    </row>
    <row r="918" spans="1:3">
      <c r="A918">
        <v>1586</v>
      </c>
      <c r="B918" t="s">
        <v>1441</v>
      </c>
      <c r="C918">
        <v>31.8</v>
      </c>
    </row>
    <row r="919" spans="1:3">
      <c r="A919">
        <v>1591</v>
      </c>
      <c r="B919" t="s">
        <v>1442</v>
      </c>
      <c r="C919">
        <v>25.3</v>
      </c>
    </row>
    <row r="920" spans="1:3">
      <c r="A920">
        <v>1593</v>
      </c>
      <c r="B920" t="s">
        <v>266</v>
      </c>
      <c r="C920">
        <v>38.299999999999997</v>
      </c>
    </row>
    <row r="921" spans="1:3">
      <c r="A921">
        <v>1595</v>
      </c>
      <c r="B921" t="s">
        <v>1443</v>
      </c>
      <c r="C921">
        <v>60.5</v>
      </c>
    </row>
    <row r="922" spans="1:3">
      <c r="A922">
        <v>1597</v>
      </c>
      <c r="B922" t="s">
        <v>267</v>
      </c>
      <c r="C922">
        <v>26.9</v>
      </c>
    </row>
    <row r="923" spans="1:3">
      <c r="A923">
        <v>1599</v>
      </c>
      <c r="B923" t="s">
        <v>1444</v>
      </c>
      <c r="C923">
        <v>44.7</v>
      </c>
    </row>
    <row r="924" spans="1:3">
      <c r="A924">
        <v>1742</v>
      </c>
      <c r="B924" t="s">
        <v>537</v>
      </c>
      <c r="C924">
        <v>10.6</v>
      </c>
    </row>
    <row r="925" spans="1:3">
      <c r="A925">
        <v>1752</v>
      </c>
      <c r="B925" t="s">
        <v>268</v>
      </c>
      <c r="C925">
        <v>48</v>
      </c>
    </row>
    <row r="926" spans="1:3">
      <c r="A926">
        <v>1777</v>
      </c>
      <c r="B926" t="s">
        <v>269</v>
      </c>
      <c r="C926">
        <v>86.8</v>
      </c>
    </row>
    <row r="927" spans="1:3">
      <c r="A927">
        <v>1781</v>
      </c>
      <c r="B927" t="s">
        <v>1445</v>
      </c>
      <c r="C927">
        <v>24.5</v>
      </c>
    </row>
    <row r="928" spans="1:3">
      <c r="A928">
        <v>1784</v>
      </c>
      <c r="B928" t="s">
        <v>1446</v>
      </c>
      <c r="C928">
        <v>37</v>
      </c>
    </row>
    <row r="929" spans="1:3">
      <c r="A929">
        <v>1785</v>
      </c>
      <c r="B929" t="s">
        <v>1447</v>
      </c>
      <c r="C929">
        <v>19</v>
      </c>
    </row>
    <row r="930" spans="1:3">
      <c r="A930">
        <v>1787</v>
      </c>
      <c r="B930" t="s">
        <v>270</v>
      </c>
      <c r="C930">
        <v>21.2</v>
      </c>
    </row>
    <row r="931" spans="1:3">
      <c r="A931">
        <v>1788</v>
      </c>
      <c r="B931" t="s">
        <v>1448</v>
      </c>
      <c r="C931">
        <v>102</v>
      </c>
    </row>
    <row r="932" spans="1:3">
      <c r="A932">
        <v>1795</v>
      </c>
      <c r="B932" t="s">
        <v>1449</v>
      </c>
      <c r="C932">
        <v>68.5</v>
      </c>
    </row>
    <row r="933" spans="1:3">
      <c r="A933">
        <v>1799</v>
      </c>
      <c r="B933" t="s">
        <v>271</v>
      </c>
      <c r="C933">
        <v>34.299999999999997</v>
      </c>
    </row>
    <row r="934" spans="1:3">
      <c r="A934">
        <v>1813</v>
      </c>
      <c r="B934" t="s">
        <v>272</v>
      </c>
      <c r="C934">
        <v>27</v>
      </c>
    </row>
    <row r="935" spans="1:3">
      <c r="A935">
        <v>1815</v>
      </c>
      <c r="B935" t="s">
        <v>1450</v>
      </c>
      <c r="C935">
        <v>10.8</v>
      </c>
    </row>
    <row r="936" spans="1:3">
      <c r="A936">
        <v>2035</v>
      </c>
      <c r="B936" t="s">
        <v>1451</v>
      </c>
      <c r="C936">
        <v>44.7</v>
      </c>
    </row>
    <row r="937" spans="1:3">
      <c r="A937">
        <v>2061</v>
      </c>
      <c r="B937" t="s">
        <v>273</v>
      </c>
      <c r="C937">
        <v>12.25</v>
      </c>
    </row>
    <row r="938" spans="1:3">
      <c r="A938">
        <v>2063</v>
      </c>
      <c r="B938" t="s">
        <v>274</v>
      </c>
      <c r="C938">
        <v>23.2</v>
      </c>
    </row>
    <row r="939" spans="1:3">
      <c r="A939">
        <v>2064</v>
      </c>
      <c r="B939" t="s">
        <v>275</v>
      </c>
      <c r="C939">
        <v>17</v>
      </c>
    </row>
    <row r="940" spans="1:3">
      <c r="A940">
        <v>2066</v>
      </c>
      <c r="B940" t="s">
        <v>276</v>
      </c>
      <c r="C940">
        <v>101.5</v>
      </c>
    </row>
    <row r="941" spans="1:3">
      <c r="A941">
        <v>2067</v>
      </c>
      <c r="B941" t="s">
        <v>1452</v>
      </c>
      <c r="C941">
        <v>13.85</v>
      </c>
    </row>
    <row r="942" spans="1:3">
      <c r="A942">
        <v>2221</v>
      </c>
      <c r="B942" t="s">
        <v>1453</v>
      </c>
      <c r="C942">
        <v>17.399999999999999</v>
      </c>
    </row>
    <row r="943" spans="1:3">
      <c r="A943">
        <v>2230</v>
      </c>
      <c r="B943" t="s">
        <v>277</v>
      </c>
      <c r="C943">
        <v>14</v>
      </c>
    </row>
    <row r="944" spans="1:3">
      <c r="A944">
        <v>2233</v>
      </c>
      <c r="B944" t="s">
        <v>278</v>
      </c>
      <c r="C944">
        <v>71.5</v>
      </c>
    </row>
    <row r="945" spans="1:3">
      <c r="A945">
        <v>2235</v>
      </c>
      <c r="B945" t="s">
        <v>279</v>
      </c>
      <c r="C945">
        <v>134</v>
      </c>
    </row>
    <row r="946" spans="1:3">
      <c r="A946">
        <v>2596</v>
      </c>
      <c r="B946" t="s">
        <v>1454</v>
      </c>
      <c r="C946">
        <v>12.6</v>
      </c>
    </row>
    <row r="947" spans="1:3">
      <c r="A947">
        <v>2636</v>
      </c>
      <c r="B947" t="s">
        <v>1455</v>
      </c>
      <c r="C947">
        <v>28.5</v>
      </c>
    </row>
    <row r="948" spans="1:3">
      <c r="A948">
        <v>2640</v>
      </c>
      <c r="B948" t="s">
        <v>1456</v>
      </c>
      <c r="C948">
        <v>65.3</v>
      </c>
    </row>
    <row r="949" spans="1:3">
      <c r="A949">
        <v>2641</v>
      </c>
      <c r="B949" t="s">
        <v>1457</v>
      </c>
      <c r="C949">
        <v>8.4499999999999993</v>
      </c>
    </row>
    <row r="950" spans="1:3">
      <c r="A950">
        <v>2718</v>
      </c>
      <c r="B950" t="s">
        <v>1890</v>
      </c>
      <c r="C950">
        <v>0</v>
      </c>
    </row>
    <row r="951" spans="1:3">
      <c r="A951">
        <v>2719</v>
      </c>
      <c r="B951" t="s">
        <v>281</v>
      </c>
      <c r="C951">
        <v>17</v>
      </c>
    </row>
    <row r="952" spans="1:3">
      <c r="A952">
        <v>2724</v>
      </c>
      <c r="B952" t="s">
        <v>1458</v>
      </c>
      <c r="C952">
        <v>14.15</v>
      </c>
    </row>
    <row r="953" spans="1:3">
      <c r="A953">
        <v>2726</v>
      </c>
      <c r="B953" t="s">
        <v>1459</v>
      </c>
      <c r="C953">
        <v>63.6</v>
      </c>
    </row>
    <row r="954" spans="1:3">
      <c r="A954">
        <v>2729</v>
      </c>
      <c r="B954" t="s">
        <v>1460</v>
      </c>
      <c r="C954">
        <v>227.5</v>
      </c>
    </row>
    <row r="955" spans="1:3">
      <c r="A955">
        <v>2732</v>
      </c>
      <c r="B955" t="s">
        <v>1461</v>
      </c>
      <c r="C955">
        <v>85.3</v>
      </c>
    </row>
    <row r="956" spans="1:3">
      <c r="A956">
        <v>2734</v>
      </c>
      <c r="B956" t="s">
        <v>282</v>
      </c>
      <c r="C956">
        <v>24.05</v>
      </c>
    </row>
    <row r="957" spans="1:3">
      <c r="A957">
        <v>2740</v>
      </c>
      <c r="B957" t="s">
        <v>2457</v>
      </c>
      <c r="C957">
        <v>81.3</v>
      </c>
    </row>
    <row r="958" spans="1:3">
      <c r="A958">
        <v>2916</v>
      </c>
      <c r="B958" t="s">
        <v>1462</v>
      </c>
      <c r="C958">
        <v>18</v>
      </c>
    </row>
    <row r="959" spans="1:3">
      <c r="A959">
        <v>2924</v>
      </c>
      <c r="B959" t="s">
        <v>1463</v>
      </c>
      <c r="C959">
        <v>60.4</v>
      </c>
    </row>
    <row r="960" spans="1:3">
      <c r="A960">
        <v>2926</v>
      </c>
      <c r="B960" t="s">
        <v>1464</v>
      </c>
      <c r="C960">
        <v>213.5</v>
      </c>
    </row>
    <row r="961" spans="1:3">
      <c r="A961">
        <v>3064</v>
      </c>
      <c r="B961" t="s">
        <v>1465</v>
      </c>
      <c r="C961">
        <v>18.95</v>
      </c>
    </row>
    <row r="962" spans="1:3">
      <c r="A962">
        <v>3066</v>
      </c>
      <c r="B962" t="s">
        <v>1466</v>
      </c>
      <c r="C962">
        <v>8.3000000000000007</v>
      </c>
    </row>
    <row r="963" spans="1:3">
      <c r="A963">
        <v>3067</v>
      </c>
      <c r="B963" t="s">
        <v>283</v>
      </c>
      <c r="C963">
        <v>12.65</v>
      </c>
    </row>
    <row r="964" spans="1:3">
      <c r="A964">
        <v>3068</v>
      </c>
      <c r="B964" t="s">
        <v>284</v>
      </c>
      <c r="C964">
        <v>33.75</v>
      </c>
    </row>
    <row r="965" spans="1:3">
      <c r="A965">
        <v>3071</v>
      </c>
      <c r="B965" t="s">
        <v>1467</v>
      </c>
      <c r="C965">
        <v>6.54</v>
      </c>
    </row>
    <row r="966" spans="1:3">
      <c r="A966">
        <v>3073</v>
      </c>
      <c r="B966" t="s">
        <v>1468</v>
      </c>
      <c r="C966">
        <v>6.06</v>
      </c>
    </row>
    <row r="967" spans="1:3">
      <c r="A967">
        <v>3078</v>
      </c>
      <c r="B967" t="s">
        <v>1469</v>
      </c>
      <c r="C967">
        <v>22.95</v>
      </c>
    </row>
    <row r="968" spans="1:3">
      <c r="A968">
        <v>3081</v>
      </c>
      <c r="B968" t="s">
        <v>1470</v>
      </c>
      <c r="C968">
        <v>485</v>
      </c>
    </row>
    <row r="969" spans="1:3">
      <c r="A969">
        <v>3083</v>
      </c>
      <c r="B969" t="s">
        <v>1471</v>
      </c>
      <c r="C969">
        <v>42.35</v>
      </c>
    </row>
    <row r="970" spans="1:3">
      <c r="A970">
        <v>3085</v>
      </c>
      <c r="B970" t="s">
        <v>285</v>
      </c>
      <c r="C970">
        <v>6.67</v>
      </c>
    </row>
    <row r="971" spans="1:3">
      <c r="A971">
        <v>3086</v>
      </c>
      <c r="B971" t="s">
        <v>1472</v>
      </c>
      <c r="C971">
        <v>12.55</v>
      </c>
    </row>
    <row r="972" spans="1:3">
      <c r="A972">
        <v>3088</v>
      </c>
      <c r="B972" t="s">
        <v>286</v>
      </c>
      <c r="C972">
        <v>63.2</v>
      </c>
    </row>
    <row r="973" spans="1:3">
      <c r="A973">
        <v>3089</v>
      </c>
      <c r="B973" t="s">
        <v>287</v>
      </c>
      <c r="C973">
        <v>18.649999999999999</v>
      </c>
    </row>
    <row r="974" spans="1:3">
      <c r="A974">
        <v>3092</v>
      </c>
      <c r="B974" t="s">
        <v>288</v>
      </c>
      <c r="C974">
        <v>16.149999999999999</v>
      </c>
    </row>
    <row r="975" spans="1:3">
      <c r="A975">
        <v>3093</v>
      </c>
      <c r="B975" t="s">
        <v>289</v>
      </c>
      <c r="C975">
        <v>28.6</v>
      </c>
    </row>
    <row r="976" spans="1:3">
      <c r="A976">
        <v>3095</v>
      </c>
      <c r="B976" t="s">
        <v>290</v>
      </c>
      <c r="C976">
        <v>5.72</v>
      </c>
    </row>
    <row r="977" spans="1:3">
      <c r="A977">
        <v>3105</v>
      </c>
      <c r="B977" t="s">
        <v>291</v>
      </c>
      <c r="C977">
        <v>50.2</v>
      </c>
    </row>
    <row r="978" spans="1:3">
      <c r="A978">
        <v>3114</v>
      </c>
      <c r="B978" t="s">
        <v>1473</v>
      </c>
      <c r="C978">
        <v>12.6</v>
      </c>
    </row>
    <row r="979" spans="1:3">
      <c r="A979">
        <v>3115</v>
      </c>
      <c r="B979" t="s">
        <v>1474</v>
      </c>
      <c r="C979">
        <v>13.45</v>
      </c>
    </row>
    <row r="980" spans="1:3">
      <c r="A980">
        <v>3118</v>
      </c>
      <c r="B980" t="s">
        <v>1475</v>
      </c>
      <c r="C980">
        <v>39.15</v>
      </c>
    </row>
    <row r="981" spans="1:3">
      <c r="A981">
        <v>3122</v>
      </c>
      <c r="B981" t="s">
        <v>1476</v>
      </c>
      <c r="C981">
        <v>16.05</v>
      </c>
    </row>
    <row r="982" spans="1:3">
      <c r="A982">
        <v>3128</v>
      </c>
      <c r="B982" t="s">
        <v>1477</v>
      </c>
      <c r="C982">
        <v>17.2</v>
      </c>
    </row>
    <row r="983" spans="1:3">
      <c r="A983">
        <v>3131</v>
      </c>
      <c r="B983" t="s">
        <v>1478</v>
      </c>
      <c r="C983">
        <v>235.5</v>
      </c>
    </row>
    <row r="984" spans="1:3">
      <c r="A984">
        <v>3144</v>
      </c>
      <c r="B984" t="s">
        <v>293</v>
      </c>
      <c r="C984">
        <v>15</v>
      </c>
    </row>
    <row r="985" spans="1:3">
      <c r="A985">
        <v>3152</v>
      </c>
      <c r="B985" t="s">
        <v>1479</v>
      </c>
      <c r="C985">
        <v>207.5</v>
      </c>
    </row>
    <row r="986" spans="1:3">
      <c r="A986">
        <v>3162</v>
      </c>
      <c r="B986" t="s">
        <v>1480</v>
      </c>
      <c r="C986">
        <v>5.64</v>
      </c>
    </row>
    <row r="987" spans="1:3">
      <c r="A987">
        <v>3163</v>
      </c>
      <c r="B987" t="s">
        <v>294</v>
      </c>
      <c r="C987">
        <v>32.5</v>
      </c>
    </row>
    <row r="988" spans="1:3">
      <c r="A988">
        <v>3169</v>
      </c>
      <c r="B988" t="s">
        <v>1481</v>
      </c>
      <c r="C988">
        <v>29.85</v>
      </c>
    </row>
    <row r="989" spans="1:3">
      <c r="A989">
        <v>3171</v>
      </c>
      <c r="B989" t="s">
        <v>1482</v>
      </c>
      <c r="C989">
        <v>20.05</v>
      </c>
    </row>
    <row r="990" spans="1:3">
      <c r="A990">
        <v>3176</v>
      </c>
      <c r="B990" t="s">
        <v>295</v>
      </c>
      <c r="C990">
        <v>86.3</v>
      </c>
    </row>
    <row r="991" spans="1:3">
      <c r="A991">
        <v>3188</v>
      </c>
      <c r="B991" t="s">
        <v>296</v>
      </c>
      <c r="C991">
        <v>10</v>
      </c>
    </row>
    <row r="992" spans="1:3">
      <c r="A992">
        <v>3191</v>
      </c>
      <c r="B992" t="s">
        <v>1483</v>
      </c>
      <c r="C992">
        <v>16.55</v>
      </c>
    </row>
    <row r="993" spans="1:3">
      <c r="A993">
        <v>3202</v>
      </c>
      <c r="B993" t="s">
        <v>1484</v>
      </c>
      <c r="C993">
        <v>6.07</v>
      </c>
    </row>
    <row r="994" spans="1:3">
      <c r="A994">
        <v>3205</v>
      </c>
      <c r="B994" t="s">
        <v>297</v>
      </c>
      <c r="C994">
        <v>278.5</v>
      </c>
    </row>
    <row r="995" spans="1:3">
      <c r="A995">
        <v>3206</v>
      </c>
      <c r="B995" t="s">
        <v>1485</v>
      </c>
      <c r="C995">
        <v>20.9</v>
      </c>
    </row>
    <row r="996" spans="1:3">
      <c r="A996">
        <v>3207</v>
      </c>
      <c r="B996" t="s">
        <v>298</v>
      </c>
      <c r="C996">
        <v>7.73</v>
      </c>
    </row>
    <row r="997" spans="1:3">
      <c r="A997">
        <v>3211</v>
      </c>
      <c r="B997" t="s">
        <v>1486</v>
      </c>
      <c r="C997">
        <v>48.75</v>
      </c>
    </row>
    <row r="998" spans="1:3">
      <c r="A998">
        <v>3213</v>
      </c>
      <c r="B998" t="s">
        <v>1487</v>
      </c>
      <c r="C998">
        <v>42.85</v>
      </c>
    </row>
    <row r="999" spans="1:3">
      <c r="A999">
        <v>3217</v>
      </c>
      <c r="B999" t="s">
        <v>1488</v>
      </c>
      <c r="C999">
        <v>13.3</v>
      </c>
    </row>
    <row r="1000" spans="1:3">
      <c r="A1000">
        <v>3218</v>
      </c>
      <c r="B1000" t="s">
        <v>299</v>
      </c>
      <c r="C1000">
        <v>24.55</v>
      </c>
    </row>
    <row r="1001" spans="1:3">
      <c r="A1001">
        <v>3219</v>
      </c>
      <c r="B1001" t="s">
        <v>1489</v>
      </c>
      <c r="C1001">
        <v>0</v>
      </c>
    </row>
    <row r="1002" spans="1:3">
      <c r="A1002">
        <v>3221</v>
      </c>
      <c r="B1002" t="s">
        <v>1490</v>
      </c>
      <c r="C1002">
        <v>17.5</v>
      </c>
    </row>
    <row r="1003" spans="1:3">
      <c r="A1003">
        <v>3224</v>
      </c>
      <c r="B1003" t="s">
        <v>1491</v>
      </c>
      <c r="C1003">
        <v>33.35</v>
      </c>
    </row>
    <row r="1004" spans="1:3">
      <c r="A1004">
        <v>3226</v>
      </c>
      <c r="B1004" t="s">
        <v>300</v>
      </c>
      <c r="C1004">
        <v>66.099999999999994</v>
      </c>
    </row>
    <row r="1005" spans="1:3">
      <c r="A1005">
        <v>3227</v>
      </c>
      <c r="B1005" t="s">
        <v>301</v>
      </c>
      <c r="C1005">
        <v>80.2</v>
      </c>
    </row>
    <row r="1006" spans="1:3">
      <c r="A1006">
        <v>3228</v>
      </c>
      <c r="B1006" t="s">
        <v>302</v>
      </c>
      <c r="C1006">
        <v>22.4</v>
      </c>
    </row>
    <row r="1007" spans="1:3">
      <c r="A1007">
        <v>3230</v>
      </c>
      <c r="B1007" t="s">
        <v>1492</v>
      </c>
      <c r="C1007">
        <v>5.75</v>
      </c>
    </row>
    <row r="1008" spans="1:3">
      <c r="A1008">
        <v>3232</v>
      </c>
      <c r="B1008" t="s">
        <v>303</v>
      </c>
      <c r="C1008">
        <v>32.799999999999997</v>
      </c>
    </row>
    <row r="1009" spans="1:3">
      <c r="A1009">
        <v>3234</v>
      </c>
      <c r="B1009" t="s">
        <v>304</v>
      </c>
      <c r="C1009">
        <v>89</v>
      </c>
    </row>
    <row r="1010" spans="1:3">
      <c r="A1010">
        <v>3236</v>
      </c>
      <c r="B1010" t="s">
        <v>305</v>
      </c>
      <c r="C1010">
        <v>12.6</v>
      </c>
    </row>
    <row r="1011" spans="1:3">
      <c r="A1011">
        <v>3252</v>
      </c>
      <c r="B1011" t="s">
        <v>306</v>
      </c>
      <c r="C1011">
        <v>0</v>
      </c>
    </row>
    <row r="1012" spans="1:3">
      <c r="A1012">
        <v>3259</v>
      </c>
      <c r="B1012" t="s">
        <v>1493</v>
      </c>
      <c r="C1012">
        <v>27.2</v>
      </c>
    </row>
    <row r="1013" spans="1:3">
      <c r="A1013">
        <v>3260</v>
      </c>
      <c r="B1013" t="s">
        <v>1494</v>
      </c>
      <c r="C1013">
        <v>33.65</v>
      </c>
    </row>
    <row r="1014" spans="1:3">
      <c r="A1014">
        <v>3264</v>
      </c>
      <c r="B1014" t="s">
        <v>1495</v>
      </c>
      <c r="C1014">
        <v>23.65</v>
      </c>
    </row>
    <row r="1015" spans="1:3">
      <c r="A1015">
        <v>3265</v>
      </c>
      <c r="B1015" t="s">
        <v>307</v>
      </c>
      <c r="C1015">
        <v>20.5</v>
      </c>
    </row>
    <row r="1016" spans="1:3">
      <c r="A1016">
        <v>3268</v>
      </c>
      <c r="B1016" t="s">
        <v>308</v>
      </c>
      <c r="C1016">
        <v>15.5</v>
      </c>
    </row>
    <row r="1017" spans="1:3">
      <c r="A1017">
        <v>3272</v>
      </c>
      <c r="B1017" t="s">
        <v>309</v>
      </c>
      <c r="C1017">
        <v>61</v>
      </c>
    </row>
    <row r="1018" spans="1:3">
      <c r="A1018">
        <v>3276</v>
      </c>
      <c r="B1018" t="s">
        <v>1496</v>
      </c>
      <c r="C1018">
        <v>8.6199999999999992</v>
      </c>
    </row>
    <row r="1019" spans="1:3">
      <c r="A1019">
        <v>3284</v>
      </c>
      <c r="B1019" t="s">
        <v>310</v>
      </c>
      <c r="C1019">
        <v>9.6199999999999992</v>
      </c>
    </row>
    <row r="1020" spans="1:3">
      <c r="A1020">
        <v>3285</v>
      </c>
      <c r="B1020" t="s">
        <v>311</v>
      </c>
      <c r="C1020">
        <v>28.2</v>
      </c>
    </row>
    <row r="1021" spans="1:3">
      <c r="A1021">
        <v>3287</v>
      </c>
      <c r="B1021" t="s">
        <v>1497</v>
      </c>
      <c r="C1021">
        <v>8.27</v>
      </c>
    </row>
    <row r="1022" spans="1:3">
      <c r="A1022">
        <v>3288</v>
      </c>
      <c r="B1022" t="s">
        <v>1498</v>
      </c>
      <c r="C1022">
        <v>6.71</v>
      </c>
    </row>
    <row r="1023" spans="1:3">
      <c r="A1023">
        <v>3289</v>
      </c>
      <c r="B1023" t="s">
        <v>1499</v>
      </c>
      <c r="C1023">
        <v>96.5</v>
      </c>
    </row>
    <row r="1024" spans="1:3">
      <c r="A1024">
        <v>3290</v>
      </c>
      <c r="B1024" t="s">
        <v>1500</v>
      </c>
      <c r="C1024">
        <v>13.7</v>
      </c>
    </row>
    <row r="1025" spans="1:3">
      <c r="A1025">
        <v>3291</v>
      </c>
      <c r="B1025" t="s">
        <v>312</v>
      </c>
      <c r="C1025">
        <v>15.95</v>
      </c>
    </row>
    <row r="1026" spans="1:3">
      <c r="A1026">
        <v>3293</v>
      </c>
      <c r="B1026" t="s">
        <v>1501</v>
      </c>
      <c r="C1026">
        <v>124</v>
      </c>
    </row>
    <row r="1027" spans="1:3">
      <c r="A1027">
        <v>3294</v>
      </c>
      <c r="B1027" t="s">
        <v>313</v>
      </c>
      <c r="C1027">
        <v>17.899999999999999</v>
      </c>
    </row>
    <row r="1028" spans="1:3">
      <c r="A1028">
        <v>3297</v>
      </c>
      <c r="B1028" t="s">
        <v>314</v>
      </c>
      <c r="C1028">
        <v>17.5</v>
      </c>
    </row>
    <row r="1029" spans="1:3">
      <c r="A1029">
        <v>3299</v>
      </c>
      <c r="B1029" t="s">
        <v>315</v>
      </c>
      <c r="C1029">
        <v>49.25</v>
      </c>
    </row>
    <row r="1030" spans="1:3">
      <c r="A1030">
        <v>3303</v>
      </c>
      <c r="B1030" t="s">
        <v>316</v>
      </c>
      <c r="C1030">
        <v>17.5</v>
      </c>
    </row>
    <row r="1031" spans="1:3">
      <c r="A1031">
        <v>3306</v>
      </c>
      <c r="B1031" t="s">
        <v>1502</v>
      </c>
      <c r="C1031">
        <v>23.25</v>
      </c>
    </row>
    <row r="1032" spans="1:3">
      <c r="A1032">
        <v>3310</v>
      </c>
      <c r="B1032" t="s">
        <v>1503</v>
      </c>
      <c r="C1032">
        <v>12.95</v>
      </c>
    </row>
    <row r="1033" spans="1:3">
      <c r="A1033">
        <v>3313</v>
      </c>
      <c r="B1033" t="s">
        <v>317</v>
      </c>
      <c r="C1033">
        <v>7.07</v>
      </c>
    </row>
    <row r="1034" spans="1:3">
      <c r="A1034">
        <v>3317</v>
      </c>
      <c r="B1034" t="s">
        <v>1504</v>
      </c>
      <c r="C1034">
        <v>11.55</v>
      </c>
    </row>
    <row r="1035" spans="1:3">
      <c r="A1035">
        <v>3322</v>
      </c>
      <c r="B1035" t="s">
        <v>1505</v>
      </c>
      <c r="C1035">
        <v>11.5</v>
      </c>
    </row>
    <row r="1036" spans="1:3">
      <c r="A1036">
        <v>3323</v>
      </c>
      <c r="B1036" t="s">
        <v>318</v>
      </c>
      <c r="C1036">
        <v>17.850000000000001</v>
      </c>
    </row>
    <row r="1037" spans="1:3">
      <c r="A1037">
        <v>3324</v>
      </c>
      <c r="B1037" t="s">
        <v>1506</v>
      </c>
      <c r="C1037">
        <v>39.950000000000003</v>
      </c>
    </row>
    <row r="1038" spans="1:3">
      <c r="A1038">
        <v>3325</v>
      </c>
      <c r="B1038" t="s">
        <v>1507</v>
      </c>
      <c r="C1038">
        <v>18.05</v>
      </c>
    </row>
    <row r="1039" spans="1:3">
      <c r="A1039">
        <v>3332</v>
      </c>
      <c r="B1039" t="s">
        <v>319</v>
      </c>
      <c r="C1039">
        <v>37.799999999999997</v>
      </c>
    </row>
    <row r="1040" spans="1:3">
      <c r="A1040">
        <v>3339</v>
      </c>
      <c r="B1040" t="s">
        <v>1508</v>
      </c>
      <c r="C1040">
        <v>3.97</v>
      </c>
    </row>
    <row r="1041" spans="1:3">
      <c r="A1041">
        <v>3354</v>
      </c>
      <c r="B1041" t="s">
        <v>1509</v>
      </c>
      <c r="C1041">
        <v>7.67</v>
      </c>
    </row>
    <row r="1042" spans="1:3">
      <c r="A1042">
        <v>3360</v>
      </c>
      <c r="B1042" t="s">
        <v>320</v>
      </c>
      <c r="C1042">
        <v>11.25</v>
      </c>
    </row>
    <row r="1043" spans="1:3">
      <c r="A1043">
        <v>3362</v>
      </c>
      <c r="B1043" t="s">
        <v>1510</v>
      </c>
      <c r="C1043">
        <v>13.75</v>
      </c>
    </row>
    <row r="1044" spans="1:3">
      <c r="A1044">
        <v>3363</v>
      </c>
      <c r="B1044" t="s">
        <v>321</v>
      </c>
      <c r="C1044">
        <v>29.15</v>
      </c>
    </row>
    <row r="1045" spans="1:3">
      <c r="A1045">
        <v>3372</v>
      </c>
      <c r="B1045" t="s">
        <v>322</v>
      </c>
      <c r="C1045">
        <v>7.9</v>
      </c>
    </row>
    <row r="1046" spans="1:3">
      <c r="A1046">
        <v>3373</v>
      </c>
      <c r="B1046" t="s">
        <v>323</v>
      </c>
      <c r="C1046">
        <v>24.4</v>
      </c>
    </row>
    <row r="1047" spans="1:3">
      <c r="A1047">
        <v>3374</v>
      </c>
      <c r="B1047" t="s">
        <v>324</v>
      </c>
      <c r="C1047">
        <v>33.299999999999997</v>
      </c>
    </row>
    <row r="1048" spans="1:3">
      <c r="A1048">
        <v>3379</v>
      </c>
      <c r="B1048" t="s">
        <v>1511</v>
      </c>
      <c r="C1048">
        <v>13.55</v>
      </c>
    </row>
    <row r="1049" spans="1:3">
      <c r="A1049">
        <v>3388</v>
      </c>
      <c r="B1049" t="s">
        <v>325</v>
      </c>
      <c r="C1049">
        <v>61.8</v>
      </c>
    </row>
    <row r="1050" spans="1:3">
      <c r="A1050">
        <v>3390</v>
      </c>
      <c r="B1050" t="s">
        <v>1512</v>
      </c>
      <c r="C1050">
        <v>14.45</v>
      </c>
    </row>
    <row r="1051" spans="1:3">
      <c r="A1051">
        <v>3402</v>
      </c>
      <c r="B1051" t="s">
        <v>1513</v>
      </c>
      <c r="C1051">
        <v>13.45</v>
      </c>
    </row>
    <row r="1052" spans="1:3">
      <c r="A1052">
        <v>3428</v>
      </c>
      <c r="B1052" t="s">
        <v>326</v>
      </c>
      <c r="C1052">
        <v>60</v>
      </c>
    </row>
    <row r="1053" spans="1:3">
      <c r="A1053">
        <v>3431</v>
      </c>
      <c r="B1053" t="s">
        <v>1514</v>
      </c>
      <c r="C1053">
        <v>7.65</v>
      </c>
    </row>
    <row r="1054" spans="1:3">
      <c r="A1054">
        <v>3434</v>
      </c>
      <c r="B1054" t="s">
        <v>327</v>
      </c>
      <c r="C1054">
        <v>13</v>
      </c>
    </row>
    <row r="1055" spans="1:3">
      <c r="A1055">
        <v>3438</v>
      </c>
      <c r="B1055" t="s">
        <v>1515</v>
      </c>
      <c r="C1055">
        <v>17.149999999999999</v>
      </c>
    </row>
    <row r="1056" spans="1:3">
      <c r="A1056">
        <v>3441</v>
      </c>
      <c r="B1056" t="s">
        <v>1516</v>
      </c>
      <c r="C1056">
        <v>11.3</v>
      </c>
    </row>
    <row r="1057" spans="1:3">
      <c r="A1057">
        <v>3444</v>
      </c>
      <c r="B1057" t="s">
        <v>1517</v>
      </c>
      <c r="C1057">
        <v>16.05</v>
      </c>
    </row>
    <row r="1058" spans="1:3">
      <c r="A1058">
        <v>3452</v>
      </c>
      <c r="B1058" t="s">
        <v>1518</v>
      </c>
      <c r="C1058">
        <v>12.7</v>
      </c>
    </row>
    <row r="1059" spans="1:3">
      <c r="A1059">
        <v>3455</v>
      </c>
      <c r="B1059" t="s">
        <v>328</v>
      </c>
      <c r="C1059">
        <v>29.2</v>
      </c>
    </row>
    <row r="1060" spans="1:3">
      <c r="A1060">
        <v>3465</v>
      </c>
      <c r="B1060" t="s">
        <v>1519</v>
      </c>
      <c r="C1060">
        <v>11</v>
      </c>
    </row>
    <row r="1061" spans="1:3">
      <c r="A1061">
        <v>3466</v>
      </c>
      <c r="B1061" t="s">
        <v>329</v>
      </c>
      <c r="C1061">
        <v>23.3</v>
      </c>
    </row>
    <row r="1062" spans="1:3">
      <c r="A1062">
        <v>3479</v>
      </c>
      <c r="B1062" t="s">
        <v>1520</v>
      </c>
      <c r="C1062">
        <v>60.9</v>
      </c>
    </row>
    <row r="1063" spans="1:3">
      <c r="A1063">
        <v>3483</v>
      </c>
      <c r="B1063" t="s">
        <v>330</v>
      </c>
      <c r="C1063">
        <v>13.1</v>
      </c>
    </row>
    <row r="1064" spans="1:3">
      <c r="A1064">
        <v>3484</v>
      </c>
      <c r="B1064" t="s">
        <v>331</v>
      </c>
      <c r="C1064">
        <v>31.1</v>
      </c>
    </row>
    <row r="1065" spans="1:3">
      <c r="A1065">
        <v>3489</v>
      </c>
      <c r="B1065" t="s">
        <v>332</v>
      </c>
      <c r="C1065">
        <v>9.84</v>
      </c>
    </row>
    <row r="1066" spans="1:3">
      <c r="A1066">
        <v>3490</v>
      </c>
      <c r="B1066" t="s">
        <v>333</v>
      </c>
      <c r="C1066">
        <v>66.599999999999994</v>
      </c>
    </row>
    <row r="1067" spans="1:3">
      <c r="A1067">
        <v>3491</v>
      </c>
      <c r="B1067" t="s">
        <v>1521</v>
      </c>
      <c r="C1067">
        <v>65.900000000000006</v>
      </c>
    </row>
    <row r="1068" spans="1:3">
      <c r="A1068">
        <v>3492</v>
      </c>
      <c r="B1068" t="s">
        <v>1522</v>
      </c>
      <c r="C1068">
        <v>29.35</v>
      </c>
    </row>
    <row r="1069" spans="1:3">
      <c r="A1069">
        <v>3498</v>
      </c>
      <c r="B1069" t="s">
        <v>1523</v>
      </c>
      <c r="C1069">
        <v>60.4</v>
      </c>
    </row>
    <row r="1070" spans="1:3">
      <c r="A1070">
        <v>3499</v>
      </c>
      <c r="B1070" t="s">
        <v>334</v>
      </c>
      <c r="C1070">
        <v>20.7</v>
      </c>
    </row>
    <row r="1071" spans="1:3">
      <c r="A1071">
        <v>3508</v>
      </c>
      <c r="B1071" t="s">
        <v>335</v>
      </c>
      <c r="C1071">
        <v>14.55</v>
      </c>
    </row>
    <row r="1072" spans="1:3">
      <c r="A1072">
        <v>3511</v>
      </c>
      <c r="B1072" t="s">
        <v>1524</v>
      </c>
      <c r="C1072">
        <v>27.45</v>
      </c>
    </row>
    <row r="1073" spans="1:3">
      <c r="A1073">
        <v>3512</v>
      </c>
      <c r="B1073" t="s">
        <v>1525</v>
      </c>
      <c r="C1073">
        <v>28.1</v>
      </c>
    </row>
    <row r="1074" spans="1:3">
      <c r="A1074">
        <v>3516</v>
      </c>
      <c r="B1074" t="s">
        <v>336</v>
      </c>
      <c r="C1074">
        <v>8.83</v>
      </c>
    </row>
    <row r="1075" spans="1:3">
      <c r="A1075">
        <v>3520</v>
      </c>
      <c r="B1075" t="s">
        <v>1526</v>
      </c>
      <c r="C1075">
        <v>105</v>
      </c>
    </row>
    <row r="1076" spans="1:3">
      <c r="A1076">
        <v>3521</v>
      </c>
      <c r="B1076" t="s">
        <v>1527</v>
      </c>
      <c r="C1076">
        <v>11.2</v>
      </c>
    </row>
    <row r="1077" spans="1:3">
      <c r="A1077">
        <v>3522</v>
      </c>
      <c r="B1077" t="s">
        <v>337</v>
      </c>
      <c r="C1077">
        <v>9.9</v>
      </c>
    </row>
    <row r="1078" spans="1:3">
      <c r="A1078">
        <v>3523</v>
      </c>
      <c r="B1078" t="s">
        <v>1528</v>
      </c>
      <c r="C1078">
        <v>25.95</v>
      </c>
    </row>
    <row r="1079" spans="1:3">
      <c r="A1079">
        <v>3526</v>
      </c>
      <c r="B1079" t="s">
        <v>1529</v>
      </c>
      <c r="C1079">
        <v>21.4</v>
      </c>
    </row>
    <row r="1080" spans="1:3">
      <c r="A1080">
        <v>3527</v>
      </c>
      <c r="B1080" t="s">
        <v>338</v>
      </c>
      <c r="C1080">
        <v>43.85</v>
      </c>
    </row>
    <row r="1081" spans="1:3">
      <c r="A1081">
        <v>3528</v>
      </c>
      <c r="B1081" t="s">
        <v>1530</v>
      </c>
      <c r="C1081">
        <v>29.35</v>
      </c>
    </row>
    <row r="1082" spans="1:3">
      <c r="A1082">
        <v>3529</v>
      </c>
      <c r="B1082" t="s">
        <v>339</v>
      </c>
      <c r="C1082">
        <v>365</v>
      </c>
    </row>
    <row r="1083" spans="1:3">
      <c r="A1083">
        <v>3531</v>
      </c>
      <c r="B1083" t="s">
        <v>1531</v>
      </c>
      <c r="C1083">
        <v>13.4</v>
      </c>
    </row>
    <row r="1084" spans="1:3">
      <c r="A1084">
        <v>3537</v>
      </c>
      <c r="B1084" t="s">
        <v>340</v>
      </c>
      <c r="C1084">
        <v>18.899999999999999</v>
      </c>
    </row>
    <row r="1085" spans="1:3">
      <c r="A1085">
        <v>3540</v>
      </c>
      <c r="B1085" t="s">
        <v>1532</v>
      </c>
      <c r="C1085">
        <v>12.9</v>
      </c>
    </row>
    <row r="1086" spans="1:3">
      <c r="A1086">
        <v>3541</v>
      </c>
      <c r="B1086" t="s">
        <v>1533</v>
      </c>
      <c r="C1086">
        <v>64.2</v>
      </c>
    </row>
    <row r="1087" spans="1:3">
      <c r="A1087">
        <v>3546</v>
      </c>
      <c r="B1087" t="s">
        <v>1534</v>
      </c>
      <c r="C1087">
        <v>40.799999999999997</v>
      </c>
    </row>
    <row r="1088" spans="1:3">
      <c r="A1088">
        <v>3548</v>
      </c>
      <c r="B1088" t="s">
        <v>341</v>
      </c>
      <c r="C1088">
        <v>34.25</v>
      </c>
    </row>
    <row r="1089" spans="1:3">
      <c r="A1089">
        <v>3551</v>
      </c>
      <c r="B1089" t="s">
        <v>342</v>
      </c>
      <c r="C1089">
        <v>34.799999999999997</v>
      </c>
    </row>
    <row r="1090" spans="1:3">
      <c r="A1090">
        <v>3552</v>
      </c>
      <c r="B1090" t="s">
        <v>1535</v>
      </c>
      <c r="C1090">
        <v>303</v>
      </c>
    </row>
    <row r="1091" spans="1:3">
      <c r="A1091">
        <v>3553</v>
      </c>
      <c r="B1091" t="s">
        <v>343</v>
      </c>
      <c r="C1091">
        <v>13.5</v>
      </c>
    </row>
    <row r="1092" spans="1:3">
      <c r="A1092">
        <v>3555</v>
      </c>
      <c r="B1092" t="s">
        <v>1536</v>
      </c>
      <c r="C1092">
        <v>11.65</v>
      </c>
    </row>
    <row r="1093" spans="1:3">
      <c r="A1093">
        <v>3556</v>
      </c>
      <c r="B1093" t="s">
        <v>344</v>
      </c>
      <c r="C1093">
        <v>52.7</v>
      </c>
    </row>
    <row r="1094" spans="1:3">
      <c r="A1094">
        <v>3558</v>
      </c>
      <c r="B1094" t="s">
        <v>345</v>
      </c>
      <c r="C1094">
        <v>212.5</v>
      </c>
    </row>
    <row r="1095" spans="1:3">
      <c r="A1095">
        <v>3562</v>
      </c>
      <c r="B1095" t="s">
        <v>346</v>
      </c>
      <c r="C1095">
        <v>3.59</v>
      </c>
    </row>
    <row r="1096" spans="1:3">
      <c r="A1096">
        <v>3563</v>
      </c>
      <c r="B1096" t="s">
        <v>347</v>
      </c>
      <c r="C1096">
        <v>43.1</v>
      </c>
    </row>
    <row r="1097" spans="1:3">
      <c r="A1097">
        <v>3564</v>
      </c>
      <c r="B1097" t="s">
        <v>1537</v>
      </c>
      <c r="C1097">
        <v>60.7</v>
      </c>
    </row>
    <row r="1098" spans="1:3">
      <c r="A1098">
        <v>3567</v>
      </c>
      <c r="B1098" t="s">
        <v>1538</v>
      </c>
      <c r="C1098">
        <v>13.45</v>
      </c>
    </row>
    <row r="1099" spans="1:3">
      <c r="A1099">
        <v>3570</v>
      </c>
      <c r="B1099" t="s">
        <v>1539</v>
      </c>
      <c r="C1099">
        <v>57</v>
      </c>
    </row>
    <row r="1100" spans="1:3">
      <c r="A1100">
        <v>3577</v>
      </c>
      <c r="B1100" t="s">
        <v>1540</v>
      </c>
      <c r="C1100">
        <v>30.9</v>
      </c>
    </row>
    <row r="1101" spans="1:3">
      <c r="A1101">
        <v>3580</v>
      </c>
      <c r="B1101" t="s">
        <v>1541</v>
      </c>
      <c r="C1101">
        <v>9.6300000000000008</v>
      </c>
    </row>
    <row r="1102" spans="1:3">
      <c r="A1102">
        <v>3581</v>
      </c>
      <c r="B1102" t="s">
        <v>1542</v>
      </c>
      <c r="C1102">
        <v>13.6</v>
      </c>
    </row>
    <row r="1103" spans="1:3">
      <c r="A1103">
        <v>3587</v>
      </c>
      <c r="B1103" t="s">
        <v>1543</v>
      </c>
      <c r="C1103">
        <v>57.8</v>
      </c>
    </row>
    <row r="1104" spans="1:3">
      <c r="A1104">
        <v>3594</v>
      </c>
      <c r="B1104" t="s">
        <v>348</v>
      </c>
      <c r="C1104">
        <v>27</v>
      </c>
    </row>
    <row r="1105" spans="1:3">
      <c r="A1105">
        <v>3609</v>
      </c>
      <c r="B1105" t="s">
        <v>349</v>
      </c>
      <c r="C1105">
        <v>12.45</v>
      </c>
    </row>
    <row r="1106" spans="1:3">
      <c r="A1106">
        <v>3611</v>
      </c>
      <c r="B1106" t="s">
        <v>350</v>
      </c>
      <c r="C1106">
        <v>313.5</v>
      </c>
    </row>
    <row r="1107" spans="1:3">
      <c r="A1107">
        <v>3615</v>
      </c>
      <c r="B1107" t="s">
        <v>1544</v>
      </c>
      <c r="C1107">
        <v>19.75</v>
      </c>
    </row>
    <row r="1108" spans="1:3">
      <c r="A1108">
        <v>3624</v>
      </c>
      <c r="B1108" t="s">
        <v>352</v>
      </c>
      <c r="C1108">
        <v>23.9</v>
      </c>
    </row>
    <row r="1109" spans="1:3">
      <c r="A1109">
        <v>3625</v>
      </c>
      <c r="B1109" t="s">
        <v>353</v>
      </c>
      <c r="C1109">
        <v>9.25</v>
      </c>
    </row>
    <row r="1110" spans="1:3">
      <c r="A1110">
        <v>3628</v>
      </c>
      <c r="B1110" t="s">
        <v>1545</v>
      </c>
      <c r="C1110">
        <v>54.4</v>
      </c>
    </row>
    <row r="1111" spans="1:3">
      <c r="A1111">
        <v>3629</v>
      </c>
      <c r="B1111" t="s">
        <v>1546</v>
      </c>
      <c r="C1111">
        <v>32.799999999999997</v>
      </c>
    </row>
    <row r="1112" spans="1:3">
      <c r="A1112">
        <v>3630</v>
      </c>
      <c r="B1112" t="s">
        <v>354</v>
      </c>
      <c r="C1112">
        <v>17.399999999999999</v>
      </c>
    </row>
    <row r="1113" spans="1:3">
      <c r="A1113">
        <v>3631</v>
      </c>
      <c r="B1113" t="s">
        <v>355</v>
      </c>
      <c r="C1113">
        <v>23.2</v>
      </c>
    </row>
    <row r="1114" spans="1:3">
      <c r="A1114">
        <v>3632</v>
      </c>
      <c r="B1114" t="s">
        <v>1547</v>
      </c>
      <c r="C1114">
        <v>29.7</v>
      </c>
    </row>
    <row r="1115" spans="1:3">
      <c r="A1115">
        <v>3642</v>
      </c>
      <c r="B1115" t="s">
        <v>1548</v>
      </c>
      <c r="C1115">
        <v>29.2</v>
      </c>
    </row>
    <row r="1116" spans="1:3">
      <c r="A1116">
        <v>3646</v>
      </c>
      <c r="B1116" t="s">
        <v>1549</v>
      </c>
      <c r="C1116">
        <v>12.85</v>
      </c>
    </row>
    <row r="1117" spans="1:3">
      <c r="A1117">
        <v>3652</v>
      </c>
      <c r="B1117" t="s">
        <v>356</v>
      </c>
      <c r="C1117">
        <v>16.600000000000001</v>
      </c>
    </row>
    <row r="1118" spans="1:3">
      <c r="A1118">
        <v>3658</v>
      </c>
      <c r="B1118" t="s">
        <v>357</v>
      </c>
      <c r="C1118">
        <v>1200</v>
      </c>
    </row>
    <row r="1119" spans="1:3">
      <c r="A1119">
        <v>3662</v>
      </c>
      <c r="B1119" t="s">
        <v>1550</v>
      </c>
      <c r="C1119">
        <v>90.9</v>
      </c>
    </row>
    <row r="1120" spans="1:3">
      <c r="A1120">
        <v>3663</v>
      </c>
      <c r="B1120" t="s">
        <v>1551</v>
      </c>
      <c r="C1120">
        <v>16.5</v>
      </c>
    </row>
    <row r="1121" spans="1:3">
      <c r="A1121">
        <v>3664</v>
      </c>
      <c r="B1121" t="s">
        <v>1552</v>
      </c>
      <c r="C1121">
        <v>15.1</v>
      </c>
    </row>
    <row r="1122" spans="1:3">
      <c r="A1122">
        <v>3666</v>
      </c>
      <c r="B1122" t="s">
        <v>358</v>
      </c>
      <c r="C1122">
        <v>22.45</v>
      </c>
    </row>
    <row r="1123" spans="1:3">
      <c r="A1123">
        <v>3672</v>
      </c>
      <c r="B1123" t="s">
        <v>359</v>
      </c>
      <c r="C1123">
        <v>34.25</v>
      </c>
    </row>
    <row r="1124" spans="1:3">
      <c r="A1124">
        <v>3675</v>
      </c>
      <c r="B1124" t="s">
        <v>1553</v>
      </c>
      <c r="C1124">
        <v>22.1</v>
      </c>
    </row>
    <row r="1125" spans="1:3">
      <c r="A1125">
        <v>3680</v>
      </c>
      <c r="B1125" t="s">
        <v>1554</v>
      </c>
      <c r="C1125">
        <v>29.2</v>
      </c>
    </row>
    <row r="1126" spans="1:3">
      <c r="A1126">
        <v>3684</v>
      </c>
      <c r="B1126" t="s">
        <v>1555</v>
      </c>
      <c r="C1126">
        <v>63.5</v>
      </c>
    </row>
    <row r="1127" spans="1:3">
      <c r="A1127">
        <v>3685</v>
      </c>
      <c r="B1127" t="s">
        <v>1556</v>
      </c>
      <c r="C1127">
        <v>44.15</v>
      </c>
    </row>
    <row r="1128" spans="1:3">
      <c r="A1128">
        <v>3687</v>
      </c>
      <c r="B1128" t="s">
        <v>360</v>
      </c>
      <c r="C1128">
        <v>66.2</v>
      </c>
    </row>
    <row r="1129" spans="1:3">
      <c r="A1129">
        <v>3689</v>
      </c>
      <c r="B1129" t="s">
        <v>1557</v>
      </c>
      <c r="C1129">
        <v>33.950000000000003</v>
      </c>
    </row>
    <row r="1130" spans="1:3">
      <c r="A1130">
        <v>3691</v>
      </c>
      <c r="B1130" t="s">
        <v>1558</v>
      </c>
      <c r="C1130">
        <v>732</v>
      </c>
    </row>
    <row r="1131" spans="1:3">
      <c r="A1131">
        <v>3693</v>
      </c>
      <c r="B1131" t="s">
        <v>361</v>
      </c>
      <c r="C1131">
        <v>112</v>
      </c>
    </row>
    <row r="1132" spans="1:3">
      <c r="A1132">
        <v>3707</v>
      </c>
      <c r="B1132" t="s">
        <v>362</v>
      </c>
      <c r="C1132">
        <v>8.93</v>
      </c>
    </row>
    <row r="1133" spans="1:3">
      <c r="A1133">
        <v>4102</v>
      </c>
      <c r="B1133" t="s">
        <v>1559</v>
      </c>
      <c r="C1133">
        <v>23.05</v>
      </c>
    </row>
    <row r="1134" spans="1:3">
      <c r="A1134">
        <v>4103</v>
      </c>
      <c r="B1134" t="s">
        <v>1560</v>
      </c>
      <c r="C1134">
        <v>86.8</v>
      </c>
    </row>
    <row r="1135" spans="1:3">
      <c r="A1135">
        <v>4105</v>
      </c>
      <c r="B1135" t="s">
        <v>1561</v>
      </c>
      <c r="C1135">
        <v>114.5</v>
      </c>
    </row>
    <row r="1136" spans="1:3">
      <c r="A1136">
        <v>4107</v>
      </c>
      <c r="B1136" t="s">
        <v>1562</v>
      </c>
      <c r="C1136">
        <v>125.5</v>
      </c>
    </row>
    <row r="1137" spans="1:3">
      <c r="A1137">
        <v>4109</v>
      </c>
      <c r="B1137" t="s">
        <v>1563</v>
      </c>
      <c r="C1137">
        <v>24.6</v>
      </c>
    </row>
    <row r="1138" spans="1:3">
      <c r="A1138">
        <v>4111</v>
      </c>
      <c r="B1138" t="s">
        <v>1564</v>
      </c>
      <c r="C1138">
        <v>25.2</v>
      </c>
    </row>
    <row r="1139" spans="1:3">
      <c r="A1139">
        <v>4113</v>
      </c>
      <c r="B1139" t="s">
        <v>363</v>
      </c>
      <c r="C1139">
        <v>9.9499999999999993</v>
      </c>
    </row>
    <row r="1140" spans="1:3">
      <c r="A1140">
        <v>4114</v>
      </c>
      <c r="B1140" t="s">
        <v>1565</v>
      </c>
      <c r="C1140">
        <v>36.200000000000003</v>
      </c>
    </row>
    <row r="1141" spans="1:3">
      <c r="A1141">
        <v>4116</v>
      </c>
      <c r="B1141" t="s">
        <v>2430</v>
      </c>
      <c r="C1141">
        <v>78.099999999999994</v>
      </c>
    </row>
    <row r="1142" spans="1:3">
      <c r="A1142">
        <v>4120</v>
      </c>
      <c r="B1142" t="s">
        <v>364</v>
      </c>
      <c r="C1142">
        <v>58.5</v>
      </c>
    </row>
    <row r="1143" spans="1:3">
      <c r="A1143">
        <v>4121</v>
      </c>
      <c r="B1143" t="s">
        <v>1566</v>
      </c>
      <c r="C1143">
        <v>16.850000000000001</v>
      </c>
    </row>
    <row r="1144" spans="1:3">
      <c r="A1144">
        <v>4123</v>
      </c>
      <c r="B1144" t="s">
        <v>1567</v>
      </c>
      <c r="C1144">
        <v>74.3</v>
      </c>
    </row>
    <row r="1145" spans="1:3">
      <c r="A1145">
        <v>4126</v>
      </c>
      <c r="B1145" t="s">
        <v>365</v>
      </c>
      <c r="C1145">
        <v>74.5</v>
      </c>
    </row>
    <row r="1146" spans="1:3">
      <c r="A1146">
        <v>4127</v>
      </c>
      <c r="B1146" t="s">
        <v>1568</v>
      </c>
      <c r="C1146">
        <v>22.5</v>
      </c>
    </row>
    <row r="1147" spans="1:3">
      <c r="A1147">
        <v>4128</v>
      </c>
      <c r="B1147" t="s">
        <v>1569</v>
      </c>
      <c r="C1147">
        <v>26.8</v>
      </c>
    </row>
    <row r="1148" spans="1:3">
      <c r="A1148">
        <v>4129</v>
      </c>
      <c r="B1148" t="s">
        <v>1570</v>
      </c>
      <c r="C1148">
        <v>67.7</v>
      </c>
    </row>
    <row r="1149" spans="1:3">
      <c r="A1149">
        <v>4130</v>
      </c>
      <c r="B1149" t="s">
        <v>366</v>
      </c>
      <c r="C1149">
        <v>64.3</v>
      </c>
    </row>
    <row r="1150" spans="1:3">
      <c r="A1150">
        <v>4131</v>
      </c>
      <c r="B1150" t="s">
        <v>1571</v>
      </c>
      <c r="C1150">
        <v>9.6</v>
      </c>
    </row>
    <row r="1151" spans="1:3">
      <c r="A1151">
        <v>4138</v>
      </c>
      <c r="B1151" t="s">
        <v>1572</v>
      </c>
      <c r="C1151">
        <v>62.9</v>
      </c>
    </row>
    <row r="1152" spans="1:3">
      <c r="A1152">
        <v>4139</v>
      </c>
      <c r="B1152" t="s">
        <v>1573</v>
      </c>
      <c r="C1152">
        <v>71.099999999999994</v>
      </c>
    </row>
    <row r="1153" spans="1:3">
      <c r="A1153">
        <v>4147</v>
      </c>
      <c r="B1153" t="s">
        <v>1945</v>
      </c>
      <c r="C1153">
        <v>254</v>
      </c>
    </row>
    <row r="1154" spans="1:3">
      <c r="A1154">
        <v>4152</v>
      </c>
      <c r="B1154" t="s">
        <v>367</v>
      </c>
      <c r="C1154">
        <v>148</v>
      </c>
    </row>
    <row r="1155" spans="1:3">
      <c r="A1155">
        <v>4153</v>
      </c>
      <c r="B1155" t="s">
        <v>368</v>
      </c>
      <c r="C1155">
        <v>72.599999999999994</v>
      </c>
    </row>
    <row r="1156" spans="1:3">
      <c r="A1156">
        <v>4154</v>
      </c>
      <c r="B1156" t="s">
        <v>1574</v>
      </c>
      <c r="C1156">
        <v>22.5</v>
      </c>
    </row>
    <row r="1157" spans="1:3">
      <c r="A1157">
        <v>4157</v>
      </c>
      <c r="B1157" t="s">
        <v>1575</v>
      </c>
      <c r="C1157">
        <v>35.450000000000003</v>
      </c>
    </row>
    <row r="1158" spans="1:3">
      <c r="A1158">
        <v>4160</v>
      </c>
      <c r="B1158" t="s">
        <v>1576</v>
      </c>
      <c r="C1158">
        <v>31</v>
      </c>
    </row>
    <row r="1159" spans="1:3">
      <c r="A1159">
        <v>4161</v>
      </c>
      <c r="B1159" t="s">
        <v>1577</v>
      </c>
      <c r="C1159">
        <v>68.5</v>
      </c>
    </row>
    <row r="1160" spans="1:3">
      <c r="A1160">
        <v>4162</v>
      </c>
      <c r="B1160" t="s">
        <v>369</v>
      </c>
      <c r="C1160">
        <v>239</v>
      </c>
    </row>
    <row r="1161" spans="1:3">
      <c r="A1161">
        <v>4163</v>
      </c>
      <c r="B1161" t="s">
        <v>1578</v>
      </c>
      <c r="C1161">
        <v>124.5</v>
      </c>
    </row>
    <row r="1162" spans="1:3">
      <c r="A1162">
        <v>4167</v>
      </c>
      <c r="B1162" t="s">
        <v>370</v>
      </c>
      <c r="C1162">
        <v>27.5</v>
      </c>
    </row>
    <row r="1163" spans="1:3">
      <c r="A1163">
        <v>4168</v>
      </c>
      <c r="B1163" t="s">
        <v>371</v>
      </c>
      <c r="C1163">
        <v>55.2</v>
      </c>
    </row>
    <row r="1164" spans="1:3">
      <c r="A1164">
        <v>4171</v>
      </c>
      <c r="B1164" t="s">
        <v>1579</v>
      </c>
      <c r="C1164">
        <v>31.95</v>
      </c>
    </row>
    <row r="1165" spans="1:3">
      <c r="A1165">
        <v>4173</v>
      </c>
      <c r="B1165" t="s">
        <v>372</v>
      </c>
      <c r="C1165">
        <v>27.3</v>
      </c>
    </row>
    <row r="1166" spans="1:3">
      <c r="A1166">
        <v>4174</v>
      </c>
      <c r="B1166" t="s">
        <v>373</v>
      </c>
      <c r="C1166">
        <v>642</v>
      </c>
    </row>
    <row r="1167" spans="1:3">
      <c r="A1167">
        <v>4175</v>
      </c>
      <c r="B1167" t="s">
        <v>374</v>
      </c>
      <c r="C1167">
        <v>76</v>
      </c>
    </row>
    <row r="1168" spans="1:3">
      <c r="A1168">
        <v>4180</v>
      </c>
      <c r="B1168" t="s">
        <v>1580</v>
      </c>
      <c r="C1168">
        <v>186</v>
      </c>
    </row>
    <row r="1169" spans="1:3">
      <c r="A1169">
        <v>4188</v>
      </c>
      <c r="B1169" t="s">
        <v>1581</v>
      </c>
      <c r="C1169">
        <v>27.1</v>
      </c>
    </row>
    <row r="1170" spans="1:3">
      <c r="A1170">
        <v>4192</v>
      </c>
      <c r="B1170" t="s">
        <v>1582</v>
      </c>
      <c r="C1170">
        <v>45.6</v>
      </c>
    </row>
    <row r="1171" spans="1:3">
      <c r="A1171">
        <v>4198</v>
      </c>
      <c r="B1171" t="s">
        <v>375</v>
      </c>
      <c r="C1171">
        <v>34.5</v>
      </c>
    </row>
    <row r="1172" spans="1:3">
      <c r="A1172">
        <v>4205</v>
      </c>
      <c r="B1172" t="s">
        <v>1583</v>
      </c>
      <c r="C1172">
        <v>39</v>
      </c>
    </row>
    <row r="1173" spans="1:3">
      <c r="A1173">
        <v>4207</v>
      </c>
      <c r="B1173" t="s">
        <v>1584</v>
      </c>
      <c r="C1173">
        <v>9.2200000000000006</v>
      </c>
    </row>
    <row r="1174" spans="1:3">
      <c r="A1174">
        <v>4303</v>
      </c>
      <c r="B1174" t="s">
        <v>1585</v>
      </c>
      <c r="C1174">
        <v>12.7</v>
      </c>
    </row>
    <row r="1175" spans="1:3">
      <c r="A1175">
        <v>4304</v>
      </c>
      <c r="B1175" t="s">
        <v>376</v>
      </c>
      <c r="C1175">
        <v>14.3</v>
      </c>
    </row>
    <row r="1176" spans="1:3">
      <c r="A1176">
        <v>4305</v>
      </c>
      <c r="B1176" t="s">
        <v>1586</v>
      </c>
      <c r="C1176">
        <v>26.5</v>
      </c>
    </row>
    <row r="1177" spans="1:3">
      <c r="A1177">
        <v>4401</v>
      </c>
      <c r="B1177" t="s">
        <v>1587</v>
      </c>
      <c r="C1177">
        <v>91.3</v>
      </c>
    </row>
    <row r="1178" spans="1:3">
      <c r="A1178">
        <v>4402</v>
      </c>
      <c r="B1178" t="s">
        <v>377</v>
      </c>
      <c r="C1178">
        <v>5.2</v>
      </c>
    </row>
    <row r="1179" spans="1:3">
      <c r="A1179">
        <v>4406</v>
      </c>
      <c r="B1179" t="s">
        <v>1588</v>
      </c>
      <c r="C1179">
        <v>10.55</v>
      </c>
    </row>
    <row r="1180" spans="1:3">
      <c r="A1180">
        <v>4413</v>
      </c>
      <c r="B1180" t="s">
        <v>1589</v>
      </c>
      <c r="C1180">
        <v>0</v>
      </c>
    </row>
    <row r="1181" spans="1:3">
      <c r="A1181">
        <v>4415</v>
      </c>
      <c r="B1181" t="s">
        <v>1590</v>
      </c>
      <c r="C1181">
        <v>18.600000000000001</v>
      </c>
    </row>
    <row r="1182" spans="1:3">
      <c r="A1182">
        <v>4416</v>
      </c>
      <c r="B1182" t="s">
        <v>378</v>
      </c>
      <c r="C1182">
        <v>91.3</v>
      </c>
    </row>
    <row r="1183" spans="1:3">
      <c r="A1183">
        <v>4417</v>
      </c>
      <c r="B1183" t="s">
        <v>1591</v>
      </c>
      <c r="C1183">
        <v>34.75</v>
      </c>
    </row>
    <row r="1184" spans="1:3">
      <c r="A1184">
        <v>4419</v>
      </c>
      <c r="B1184" t="s">
        <v>1592</v>
      </c>
      <c r="C1184">
        <v>7.16</v>
      </c>
    </row>
    <row r="1185" spans="1:3">
      <c r="A1185">
        <v>4420</v>
      </c>
      <c r="B1185" t="s">
        <v>1593</v>
      </c>
      <c r="C1185">
        <v>40</v>
      </c>
    </row>
    <row r="1186" spans="1:3">
      <c r="A1186">
        <v>4429</v>
      </c>
      <c r="B1186" t="s">
        <v>379</v>
      </c>
      <c r="C1186">
        <v>23.55</v>
      </c>
    </row>
    <row r="1187" spans="1:3">
      <c r="A1187">
        <v>4430</v>
      </c>
      <c r="B1187" t="s">
        <v>1594</v>
      </c>
      <c r="C1187">
        <v>28.3</v>
      </c>
    </row>
    <row r="1188" spans="1:3">
      <c r="A1188">
        <v>4432</v>
      </c>
      <c r="B1188" t="s">
        <v>1595</v>
      </c>
      <c r="C1188">
        <v>73.099999999999994</v>
      </c>
    </row>
    <row r="1189" spans="1:3">
      <c r="A1189">
        <v>4433</v>
      </c>
      <c r="B1189" t="s">
        <v>1596</v>
      </c>
      <c r="C1189">
        <v>34.5</v>
      </c>
    </row>
    <row r="1190" spans="1:3">
      <c r="A1190">
        <v>4502</v>
      </c>
      <c r="B1190" t="s">
        <v>1946</v>
      </c>
      <c r="C1190">
        <v>29.5</v>
      </c>
    </row>
    <row r="1191" spans="1:3">
      <c r="A1191">
        <v>4503</v>
      </c>
      <c r="B1191" t="s">
        <v>380</v>
      </c>
      <c r="C1191">
        <v>12.8</v>
      </c>
    </row>
    <row r="1192" spans="1:3">
      <c r="A1192">
        <v>4506</v>
      </c>
      <c r="B1192" t="s">
        <v>381</v>
      </c>
      <c r="C1192">
        <v>24.45</v>
      </c>
    </row>
    <row r="1193" spans="1:3">
      <c r="A1193">
        <v>4510</v>
      </c>
      <c r="B1193" t="s">
        <v>1598</v>
      </c>
      <c r="C1193">
        <v>15.2</v>
      </c>
    </row>
    <row r="1194" spans="1:3">
      <c r="A1194">
        <v>4513</v>
      </c>
      <c r="B1194" t="s">
        <v>1599</v>
      </c>
      <c r="C1194">
        <v>10.050000000000001</v>
      </c>
    </row>
    <row r="1195" spans="1:3">
      <c r="A1195">
        <v>4523</v>
      </c>
      <c r="B1195" t="s">
        <v>1600</v>
      </c>
      <c r="C1195">
        <v>17.5</v>
      </c>
    </row>
    <row r="1196" spans="1:3">
      <c r="A1196">
        <v>4527</v>
      </c>
      <c r="B1196" t="s">
        <v>1601</v>
      </c>
      <c r="C1196">
        <v>23.7</v>
      </c>
    </row>
    <row r="1197" spans="1:3">
      <c r="A1197">
        <v>4528</v>
      </c>
      <c r="B1197" t="s">
        <v>1602</v>
      </c>
      <c r="C1197">
        <v>55.2</v>
      </c>
    </row>
    <row r="1198" spans="1:3">
      <c r="A1198">
        <v>4529</v>
      </c>
      <c r="B1198" t="s">
        <v>1603</v>
      </c>
      <c r="C1198">
        <v>45.3</v>
      </c>
    </row>
    <row r="1199" spans="1:3">
      <c r="A1199">
        <v>4530</v>
      </c>
      <c r="B1199" t="s">
        <v>1604</v>
      </c>
      <c r="C1199">
        <v>4.7699999999999996</v>
      </c>
    </row>
    <row r="1200" spans="1:3">
      <c r="A1200">
        <v>4533</v>
      </c>
      <c r="B1200" t="s">
        <v>1605</v>
      </c>
      <c r="C1200">
        <v>11.8</v>
      </c>
    </row>
    <row r="1201" spans="1:3">
      <c r="A1201">
        <v>4534</v>
      </c>
      <c r="B1201" t="s">
        <v>1606</v>
      </c>
      <c r="C1201">
        <v>10.1</v>
      </c>
    </row>
    <row r="1202" spans="1:3">
      <c r="A1202">
        <v>4535</v>
      </c>
      <c r="B1202" t="s">
        <v>1607</v>
      </c>
      <c r="C1202">
        <v>43.9</v>
      </c>
    </row>
    <row r="1203" spans="1:3">
      <c r="A1203">
        <v>4541</v>
      </c>
      <c r="B1203" t="s">
        <v>1608</v>
      </c>
      <c r="C1203">
        <v>33.299999999999997</v>
      </c>
    </row>
    <row r="1204" spans="1:3">
      <c r="A1204">
        <v>4542</v>
      </c>
      <c r="B1204" t="s">
        <v>382</v>
      </c>
      <c r="C1204">
        <v>19.600000000000001</v>
      </c>
    </row>
    <row r="1205" spans="1:3">
      <c r="A1205">
        <v>4549</v>
      </c>
      <c r="B1205" t="s">
        <v>383</v>
      </c>
      <c r="C1205">
        <v>76.900000000000006</v>
      </c>
    </row>
    <row r="1206" spans="1:3">
      <c r="A1206">
        <v>4550</v>
      </c>
      <c r="B1206" t="s">
        <v>384</v>
      </c>
      <c r="C1206">
        <v>19.899999999999999</v>
      </c>
    </row>
    <row r="1207" spans="1:3">
      <c r="A1207">
        <v>4556</v>
      </c>
      <c r="B1207" t="s">
        <v>2458</v>
      </c>
      <c r="C1207">
        <v>36</v>
      </c>
    </row>
    <row r="1208" spans="1:3">
      <c r="A1208">
        <v>4609</v>
      </c>
      <c r="B1208" t="s">
        <v>1609</v>
      </c>
      <c r="C1208">
        <v>7.94</v>
      </c>
    </row>
    <row r="1209" spans="1:3">
      <c r="A1209">
        <v>4702</v>
      </c>
      <c r="B1209" t="s">
        <v>385</v>
      </c>
      <c r="C1209">
        <v>11.5</v>
      </c>
    </row>
    <row r="1210" spans="1:3">
      <c r="A1210">
        <v>4706</v>
      </c>
      <c r="B1210" t="s">
        <v>1610</v>
      </c>
      <c r="C1210">
        <v>15.15</v>
      </c>
    </row>
    <row r="1211" spans="1:3">
      <c r="A1211">
        <v>4707</v>
      </c>
      <c r="B1211" t="s">
        <v>386</v>
      </c>
      <c r="C1211">
        <v>8.5</v>
      </c>
    </row>
    <row r="1212" spans="1:3">
      <c r="A1212">
        <v>4711</v>
      </c>
      <c r="B1212" t="s">
        <v>1611</v>
      </c>
      <c r="C1212">
        <v>0</v>
      </c>
    </row>
    <row r="1213" spans="1:3">
      <c r="A1213">
        <v>4712</v>
      </c>
      <c r="B1213" t="s">
        <v>387</v>
      </c>
      <c r="C1213">
        <v>7.6</v>
      </c>
    </row>
    <row r="1214" spans="1:3">
      <c r="A1214">
        <v>4714</v>
      </c>
      <c r="B1214" t="s">
        <v>388</v>
      </c>
      <c r="C1214">
        <v>8.1300000000000008</v>
      </c>
    </row>
    <row r="1215" spans="1:3">
      <c r="A1215">
        <v>4716</v>
      </c>
      <c r="B1215" t="s">
        <v>1612</v>
      </c>
      <c r="C1215">
        <v>9.14</v>
      </c>
    </row>
    <row r="1216" spans="1:3">
      <c r="A1216">
        <v>4721</v>
      </c>
      <c r="B1216" t="s">
        <v>389</v>
      </c>
      <c r="C1216">
        <v>23.95</v>
      </c>
    </row>
    <row r="1217" spans="1:3">
      <c r="A1217">
        <v>4726</v>
      </c>
      <c r="B1217" t="s">
        <v>1613</v>
      </c>
      <c r="C1217">
        <v>47.25</v>
      </c>
    </row>
    <row r="1218" spans="1:3">
      <c r="A1218">
        <v>4728</v>
      </c>
      <c r="B1218" t="s">
        <v>390</v>
      </c>
      <c r="C1218">
        <v>32.15</v>
      </c>
    </row>
    <row r="1219" spans="1:3">
      <c r="A1219">
        <v>4729</v>
      </c>
      <c r="B1219" t="s">
        <v>391</v>
      </c>
      <c r="C1219">
        <v>12.65</v>
      </c>
    </row>
    <row r="1220" spans="1:3">
      <c r="A1220">
        <v>4735</v>
      </c>
      <c r="B1220" t="s">
        <v>1614</v>
      </c>
      <c r="C1220">
        <v>34.200000000000003</v>
      </c>
    </row>
    <row r="1221" spans="1:3">
      <c r="A1221">
        <v>4736</v>
      </c>
      <c r="B1221" t="s">
        <v>392</v>
      </c>
      <c r="C1221">
        <v>103.5</v>
      </c>
    </row>
    <row r="1222" spans="1:3">
      <c r="A1222">
        <v>4739</v>
      </c>
      <c r="B1222" t="s">
        <v>1615</v>
      </c>
      <c r="C1222">
        <v>40.35</v>
      </c>
    </row>
    <row r="1223" spans="1:3">
      <c r="A1223">
        <v>4743</v>
      </c>
      <c r="B1223" t="s">
        <v>1616</v>
      </c>
      <c r="C1223">
        <v>38</v>
      </c>
    </row>
    <row r="1224" spans="1:3">
      <c r="A1224">
        <v>4745</v>
      </c>
      <c r="B1224" t="s">
        <v>1617</v>
      </c>
      <c r="C1224">
        <v>56</v>
      </c>
    </row>
    <row r="1225" spans="1:3">
      <c r="A1225">
        <v>4747</v>
      </c>
      <c r="B1225" t="s">
        <v>1618</v>
      </c>
      <c r="C1225">
        <v>42.8</v>
      </c>
    </row>
    <row r="1226" spans="1:3">
      <c r="A1226">
        <v>4762</v>
      </c>
      <c r="B1226" t="s">
        <v>2990</v>
      </c>
      <c r="C1226">
        <v>70.5</v>
      </c>
    </row>
    <row r="1227" spans="1:3">
      <c r="A1227">
        <v>4803</v>
      </c>
      <c r="B1227" t="s">
        <v>2431</v>
      </c>
      <c r="C1227">
        <v>148.5</v>
      </c>
    </row>
    <row r="1228" spans="1:3">
      <c r="A1228">
        <v>4804</v>
      </c>
      <c r="B1228" t="s">
        <v>1967</v>
      </c>
      <c r="C1228">
        <v>135</v>
      </c>
    </row>
    <row r="1229" spans="1:3">
      <c r="A1229">
        <v>4903</v>
      </c>
      <c r="B1229" t="s">
        <v>1619</v>
      </c>
      <c r="C1229">
        <v>11.3</v>
      </c>
    </row>
    <row r="1230" spans="1:3">
      <c r="A1230">
        <v>4905</v>
      </c>
      <c r="B1230" t="s">
        <v>1620</v>
      </c>
      <c r="C1230">
        <v>47.45</v>
      </c>
    </row>
    <row r="1231" spans="1:3">
      <c r="A1231">
        <v>4907</v>
      </c>
      <c r="B1231" t="s">
        <v>1621</v>
      </c>
      <c r="C1231">
        <v>11.1</v>
      </c>
    </row>
    <row r="1232" spans="1:3">
      <c r="A1232">
        <v>4908</v>
      </c>
      <c r="B1232" t="s">
        <v>1622</v>
      </c>
      <c r="C1232">
        <v>18.25</v>
      </c>
    </row>
    <row r="1233" spans="1:3">
      <c r="A1233">
        <v>4909</v>
      </c>
      <c r="B1233" t="s">
        <v>393</v>
      </c>
      <c r="C1233">
        <v>22.8</v>
      </c>
    </row>
    <row r="1234" spans="1:3">
      <c r="A1234">
        <v>4911</v>
      </c>
      <c r="B1234" t="s">
        <v>394</v>
      </c>
      <c r="C1234">
        <v>84.1</v>
      </c>
    </row>
    <row r="1235" spans="1:3">
      <c r="A1235">
        <v>4924</v>
      </c>
      <c r="B1235" t="s">
        <v>1623</v>
      </c>
      <c r="C1235">
        <v>8.0299999999999994</v>
      </c>
    </row>
    <row r="1236" spans="1:3">
      <c r="A1236">
        <v>4933</v>
      </c>
      <c r="B1236" t="s">
        <v>395</v>
      </c>
      <c r="C1236">
        <v>23.6</v>
      </c>
    </row>
    <row r="1237" spans="1:3">
      <c r="A1237">
        <v>4939</v>
      </c>
      <c r="B1237" t="s">
        <v>396</v>
      </c>
      <c r="C1237">
        <v>7.73</v>
      </c>
    </row>
    <row r="1238" spans="1:3">
      <c r="A1238">
        <v>4944</v>
      </c>
      <c r="B1238" t="s">
        <v>1624</v>
      </c>
      <c r="C1238">
        <v>12.55</v>
      </c>
    </row>
    <row r="1239" spans="1:3">
      <c r="A1239">
        <v>4946</v>
      </c>
      <c r="B1239" t="s">
        <v>1625</v>
      </c>
      <c r="C1239">
        <v>37.200000000000003</v>
      </c>
    </row>
    <row r="1240" spans="1:3">
      <c r="A1240">
        <v>4947</v>
      </c>
      <c r="B1240" t="s">
        <v>1626</v>
      </c>
      <c r="C1240">
        <v>207</v>
      </c>
    </row>
    <row r="1241" spans="1:3">
      <c r="A1241">
        <v>4950</v>
      </c>
      <c r="B1241" t="s">
        <v>397</v>
      </c>
      <c r="C1241">
        <v>17.8</v>
      </c>
    </row>
    <row r="1242" spans="1:3">
      <c r="A1242">
        <v>4953</v>
      </c>
      <c r="B1242" t="s">
        <v>1627</v>
      </c>
      <c r="C1242">
        <v>21.45</v>
      </c>
    </row>
    <row r="1243" spans="1:3">
      <c r="A1243">
        <v>4965</v>
      </c>
      <c r="B1243" t="s">
        <v>398</v>
      </c>
      <c r="C1243">
        <v>118</v>
      </c>
    </row>
    <row r="1244" spans="1:3">
      <c r="A1244">
        <v>4966</v>
      </c>
      <c r="B1244" t="s">
        <v>1628</v>
      </c>
      <c r="C1244">
        <v>222.5</v>
      </c>
    </row>
    <row r="1245" spans="1:3">
      <c r="A1245">
        <v>4971</v>
      </c>
      <c r="B1245" t="s">
        <v>1629</v>
      </c>
      <c r="C1245">
        <v>134.5</v>
      </c>
    </row>
    <row r="1246" spans="1:3">
      <c r="A1246">
        <v>4972</v>
      </c>
      <c r="B1246" t="s">
        <v>1630</v>
      </c>
      <c r="C1246">
        <v>35.35</v>
      </c>
    </row>
    <row r="1247" spans="1:3">
      <c r="A1247">
        <v>4973</v>
      </c>
      <c r="B1247" t="s">
        <v>1631</v>
      </c>
      <c r="C1247">
        <v>16.55</v>
      </c>
    </row>
    <row r="1248" spans="1:3">
      <c r="A1248">
        <v>4974</v>
      </c>
      <c r="B1248" t="s">
        <v>399</v>
      </c>
      <c r="C1248">
        <v>36.799999999999997</v>
      </c>
    </row>
    <row r="1249" spans="1:3">
      <c r="A1249">
        <v>4979</v>
      </c>
      <c r="B1249" t="s">
        <v>400</v>
      </c>
      <c r="C1249">
        <v>75.3</v>
      </c>
    </row>
    <row r="1250" spans="1:3">
      <c r="A1250">
        <v>4987</v>
      </c>
      <c r="B1250" t="s">
        <v>1632</v>
      </c>
      <c r="C1250">
        <v>70</v>
      </c>
    </row>
    <row r="1251" spans="1:3">
      <c r="A1251">
        <v>4991</v>
      </c>
      <c r="B1251" t="s">
        <v>1633</v>
      </c>
      <c r="C1251">
        <v>72</v>
      </c>
    </row>
    <row r="1252" spans="1:3">
      <c r="A1252">
        <v>4995</v>
      </c>
      <c r="B1252" t="s">
        <v>1634</v>
      </c>
      <c r="C1252">
        <v>40.450000000000003</v>
      </c>
    </row>
    <row r="1253" spans="1:3">
      <c r="A1253">
        <v>5009</v>
      </c>
      <c r="B1253" t="s">
        <v>401</v>
      </c>
      <c r="C1253">
        <v>17.45</v>
      </c>
    </row>
    <row r="1254" spans="1:3">
      <c r="A1254">
        <v>5011</v>
      </c>
      <c r="B1254" t="s">
        <v>402</v>
      </c>
      <c r="C1254">
        <v>0</v>
      </c>
    </row>
    <row r="1255" spans="1:3">
      <c r="A1255">
        <v>5013</v>
      </c>
      <c r="B1255" t="s">
        <v>1635</v>
      </c>
      <c r="C1255">
        <v>16.95</v>
      </c>
    </row>
    <row r="1256" spans="1:3">
      <c r="A1256">
        <v>5014</v>
      </c>
      <c r="B1256" t="s">
        <v>1636</v>
      </c>
      <c r="C1256">
        <v>6.96</v>
      </c>
    </row>
    <row r="1257" spans="1:3">
      <c r="A1257">
        <v>5015</v>
      </c>
      <c r="B1257" t="s">
        <v>403</v>
      </c>
      <c r="C1257">
        <v>16.899999999999999</v>
      </c>
    </row>
    <row r="1258" spans="1:3">
      <c r="A1258">
        <v>5016</v>
      </c>
      <c r="B1258" t="s">
        <v>1637</v>
      </c>
      <c r="C1258">
        <v>23.85</v>
      </c>
    </row>
    <row r="1259" spans="1:3">
      <c r="A1259">
        <v>5102</v>
      </c>
      <c r="B1259" t="s">
        <v>404</v>
      </c>
      <c r="C1259">
        <v>14.4</v>
      </c>
    </row>
    <row r="1260" spans="1:3">
      <c r="A1260">
        <v>5201</v>
      </c>
      <c r="B1260" t="s">
        <v>1638</v>
      </c>
      <c r="C1260">
        <v>12.4</v>
      </c>
    </row>
    <row r="1261" spans="1:3">
      <c r="A1261">
        <v>5202</v>
      </c>
      <c r="B1261" t="s">
        <v>1639</v>
      </c>
      <c r="C1261">
        <v>14.9</v>
      </c>
    </row>
    <row r="1262" spans="1:3">
      <c r="A1262">
        <v>5205</v>
      </c>
      <c r="B1262" t="s">
        <v>1640</v>
      </c>
      <c r="C1262">
        <v>8.51</v>
      </c>
    </row>
    <row r="1263" spans="1:3">
      <c r="A1263">
        <v>5206</v>
      </c>
      <c r="B1263" t="s">
        <v>405</v>
      </c>
      <c r="C1263">
        <v>10.7</v>
      </c>
    </row>
    <row r="1264" spans="1:3">
      <c r="A1264">
        <v>5209</v>
      </c>
      <c r="B1264" t="s">
        <v>1641</v>
      </c>
      <c r="C1264">
        <v>0</v>
      </c>
    </row>
    <row r="1265" spans="1:3">
      <c r="A1265">
        <v>5210</v>
      </c>
      <c r="B1265" t="s">
        <v>406</v>
      </c>
      <c r="C1265">
        <v>6.67</v>
      </c>
    </row>
    <row r="1266" spans="1:3">
      <c r="A1266">
        <v>5211</v>
      </c>
      <c r="B1266" t="s">
        <v>407</v>
      </c>
      <c r="C1266">
        <v>22.3</v>
      </c>
    </row>
    <row r="1267" spans="1:3">
      <c r="A1267">
        <v>5212</v>
      </c>
      <c r="B1267" t="s">
        <v>1642</v>
      </c>
      <c r="C1267">
        <v>19.149999999999999</v>
      </c>
    </row>
    <row r="1268" spans="1:3">
      <c r="A1268">
        <v>5213</v>
      </c>
      <c r="B1268" t="s">
        <v>1643</v>
      </c>
      <c r="C1268">
        <v>14.8</v>
      </c>
    </row>
    <row r="1269" spans="1:3">
      <c r="A1269">
        <v>5227</v>
      </c>
      <c r="B1269" t="s">
        <v>1644</v>
      </c>
      <c r="C1269">
        <v>30.05</v>
      </c>
    </row>
    <row r="1270" spans="1:3">
      <c r="A1270">
        <v>5230</v>
      </c>
      <c r="B1270" t="s">
        <v>408</v>
      </c>
      <c r="C1270">
        <v>50.3</v>
      </c>
    </row>
    <row r="1271" spans="1:3">
      <c r="A1271">
        <v>5245</v>
      </c>
      <c r="B1271" t="s">
        <v>409</v>
      </c>
      <c r="C1271">
        <v>97.1</v>
      </c>
    </row>
    <row r="1272" spans="1:3">
      <c r="A1272">
        <v>5251</v>
      </c>
      <c r="B1272" t="s">
        <v>410</v>
      </c>
      <c r="C1272">
        <v>30.6</v>
      </c>
    </row>
    <row r="1273" spans="1:3">
      <c r="A1273">
        <v>5255</v>
      </c>
      <c r="B1273" t="s">
        <v>411</v>
      </c>
      <c r="C1273">
        <v>14.75</v>
      </c>
    </row>
    <row r="1274" spans="1:3">
      <c r="A1274">
        <v>5263</v>
      </c>
      <c r="B1274" t="s">
        <v>1645</v>
      </c>
      <c r="C1274">
        <v>335.5</v>
      </c>
    </row>
    <row r="1275" spans="1:3">
      <c r="A1275">
        <v>5266</v>
      </c>
      <c r="B1275" t="s">
        <v>1646</v>
      </c>
      <c r="C1275">
        <v>88.1</v>
      </c>
    </row>
    <row r="1276" spans="1:3">
      <c r="A1276">
        <v>5272</v>
      </c>
      <c r="B1276" t="s">
        <v>412</v>
      </c>
      <c r="C1276">
        <v>38.4</v>
      </c>
    </row>
    <row r="1277" spans="1:3">
      <c r="A1277">
        <v>5274</v>
      </c>
      <c r="B1277" t="s">
        <v>1647</v>
      </c>
      <c r="C1277">
        <v>328</v>
      </c>
    </row>
    <row r="1278" spans="1:3">
      <c r="A1278">
        <v>5276</v>
      </c>
      <c r="B1278" t="s">
        <v>1648</v>
      </c>
      <c r="C1278">
        <v>22.5</v>
      </c>
    </row>
    <row r="1279" spans="1:3">
      <c r="A1279">
        <v>5278</v>
      </c>
      <c r="B1279" t="s">
        <v>413</v>
      </c>
      <c r="C1279">
        <v>25.8</v>
      </c>
    </row>
    <row r="1280" spans="1:3">
      <c r="A1280">
        <v>5284</v>
      </c>
      <c r="B1280" t="s">
        <v>1649</v>
      </c>
      <c r="C1280">
        <v>70.900000000000006</v>
      </c>
    </row>
    <row r="1281" spans="1:3">
      <c r="A1281">
        <v>5287</v>
      </c>
      <c r="B1281" t="s">
        <v>414</v>
      </c>
      <c r="C1281">
        <v>273.5</v>
      </c>
    </row>
    <row r="1282" spans="1:3">
      <c r="A1282">
        <v>5289</v>
      </c>
      <c r="B1282" t="s">
        <v>1650</v>
      </c>
      <c r="C1282">
        <v>91</v>
      </c>
    </row>
    <row r="1283" spans="1:3">
      <c r="A1283">
        <v>5291</v>
      </c>
      <c r="B1283" t="s">
        <v>415</v>
      </c>
      <c r="C1283">
        <v>16.5</v>
      </c>
    </row>
    <row r="1284" spans="1:3">
      <c r="A1284">
        <v>5301</v>
      </c>
      <c r="B1284" t="s">
        <v>416</v>
      </c>
      <c r="C1284">
        <v>37.700000000000003</v>
      </c>
    </row>
    <row r="1285" spans="1:3">
      <c r="A1285">
        <v>5302</v>
      </c>
      <c r="B1285" t="s">
        <v>417</v>
      </c>
      <c r="C1285">
        <v>5.56</v>
      </c>
    </row>
    <row r="1286" spans="1:3">
      <c r="A1286">
        <v>5304</v>
      </c>
      <c r="B1286" t="s">
        <v>418</v>
      </c>
      <c r="C1286">
        <v>2.9</v>
      </c>
    </row>
    <row r="1287" spans="1:3">
      <c r="A1287">
        <v>5306</v>
      </c>
      <c r="B1287" t="s">
        <v>1651</v>
      </c>
      <c r="C1287">
        <v>129</v>
      </c>
    </row>
    <row r="1288" spans="1:3">
      <c r="A1288">
        <v>5309</v>
      </c>
      <c r="B1288" t="s">
        <v>1652</v>
      </c>
      <c r="C1288">
        <v>19.7</v>
      </c>
    </row>
    <row r="1289" spans="1:3">
      <c r="A1289">
        <v>5310</v>
      </c>
      <c r="B1289" t="s">
        <v>1653</v>
      </c>
      <c r="C1289">
        <v>27</v>
      </c>
    </row>
    <row r="1290" spans="1:3">
      <c r="A1290">
        <v>5312</v>
      </c>
      <c r="B1290" t="s">
        <v>419</v>
      </c>
      <c r="C1290">
        <v>80.2</v>
      </c>
    </row>
    <row r="1291" spans="1:3">
      <c r="A1291">
        <v>5314</v>
      </c>
      <c r="B1291" t="s">
        <v>1654</v>
      </c>
      <c r="C1291">
        <v>5.86</v>
      </c>
    </row>
    <row r="1292" spans="1:3">
      <c r="A1292">
        <v>5315</v>
      </c>
      <c r="B1292" t="s">
        <v>1655</v>
      </c>
      <c r="C1292">
        <v>21.95</v>
      </c>
    </row>
    <row r="1293" spans="1:3">
      <c r="A1293">
        <v>5317</v>
      </c>
      <c r="B1293" t="s">
        <v>420</v>
      </c>
      <c r="C1293">
        <v>16.399999999999999</v>
      </c>
    </row>
    <row r="1294" spans="1:3">
      <c r="A1294">
        <v>5321</v>
      </c>
      <c r="B1294" t="s">
        <v>1656</v>
      </c>
      <c r="C1294">
        <v>22.95</v>
      </c>
    </row>
    <row r="1295" spans="1:3">
      <c r="A1295">
        <v>5324</v>
      </c>
      <c r="B1295" t="s">
        <v>421</v>
      </c>
      <c r="C1295">
        <v>9.5</v>
      </c>
    </row>
    <row r="1296" spans="1:3">
      <c r="A1296">
        <v>5328</v>
      </c>
      <c r="B1296" t="s">
        <v>1657</v>
      </c>
      <c r="C1296">
        <v>5.26</v>
      </c>
    </row>
    <row r="1297" spans="1:3">
      <c r="A1297">
        <v>5340</v>
      </c>
      <c r="B1297" t="s">
        <v>1658</v>
      </c>
      <c r="C1297">
        <v>3.51</v>
      </c>
    </row>
    <row r="1298" spans="1:3">
      <c r="A1298">
        <v>5344</v>
      </c>
      <c r="B1298" t="s">
        <v>1659</v>
      </c>
      <c r="C1298">
        <v>5.83</v>
      </c>
    </row>
    <row r="1299" spans="1:3">
      <c r="A1299">
        <v>5345</v>
      </c>
      <c r="B1299" t="s">
        <v>422</v>
      </c>
      <c r="C1299">
        <v>10</v>
      </c>
    </row>
    <row r="1300" spans="1:3">
      <c r="A1300">
        <v>5347</v>
      </c>
      <c r="B1300" t="s">
        <v>423</v>
      </c>
      <c r="C1300">
        <v>43.15</v>
      </c>
    </row>
    <row r="1301" spans="1:3">
      <c r="A1301">
        <v>5348</v>
      </c>
      <c r="B1301" t="s">
        <v>1660</v>
      </c>
      <c r="C1301">
        <v>6.48</v>
      </c>
    </row>
    <row r="1302" spans="1:3">
      <c r="A1302">
        <v>5349</v>
      </c>
      <c r="B1302" t="s">
        <v>1661</v>
      </c>
      <c r="C1302">
        <v>32.4</v>
      </c>
    </row>
    <row r="1303" spans="1:3">
      <c r="A1303">
        <v>5351</v>
      </c>
      <c r="B1303" t="s">
        <v>1662</v>
      </c>
      <c r="C1303">
        <v>14</v>
      </c>
    </row>
    <row r="1304" spans="1:3">
      <c r="A1304">
        <v>5353</v>
      </c>
      <c r="B1304" t="s">
        <v>1663</v>
      </c>
      <c r="C1304">
        <v>9.0500000000000007</v>
      </c>
    </row>
    <row r="1305" spans="1:3">
      <c r="A1305">
        <v>5355</v>
      </c>
      <c r="B1305" t="s">
        <v>424</v>
      </c>
      <c r="C1305">
        <v>6.99</v>
      </c>
    </row>
    <row r="1306" spans="1:3">
      <c r="A1306">
        <v>5356</v>
      </c>
      <c r="B1306" t="s">
        <v>1664</v>
      </c>
      <c r="C1306">
        <v>39.6</v>
      </c>
    </row>
    <row r="1307" spans="1:3">
      <c r="A1307">
        <v>5364</v>
      </c>
      <c r="B1307" t="s">
        <v>425</v>
      </c>
      <c r="C1307">
        <v>0</v>
      </c>
    </row>
    <row r="1308" spans="1:3">
      <c r="A1308">
        <v>5371</v>
      </c>
      <c r="B1308" t="s">
        <v>426</v>
      </c>
      <c r="C1308">
        <v>27.75</v>
      </c>
    </row>
    <row r="1309" spans="1:3">
      <c r="A1309">
        <v>5381</v>
      </c>
      <c r="B1309" t="s">
        <v>1665</v>
      </c>
      <c r="C1309">
        <v>1.59</v>
      </c>
    </row>
    <row r="1310" spans="1:3">
      <c r="A1310">
        <v>5383</v>
      </c>
      <c r="B1310" t="s">
        <v>1666</v>
      </c>
      <c r="C1310">
        <v>9.84</v>
      </c>
    </row>
    <row r="1311" spans="1:3">
      <c r="A1311">
        <v>5384</v>
      </c>
      <c r="B1311" t="s">
        <v>427</v>
      </c>
      <c r="C1311">
        <v>12.5</v>
      </c>
    </row>
    <row r="1312" spans="1:3">
      <c r="A1312">
        <v>5386</v>
      </c>
      <c r="B1312" t="s">
        <v>1667</v>
      </c>
      <c r="C1312">
        <v>24.55</v>
      </c>
    </row>
    <row r="1313" spans="1:3">
      <c r="A1313">
        <v>5392</v>
      </c>
      <c r="B1313" t="s">
        <v>1668</v>
      </c>
      <c r="C1313">
        <v>52</v>
      </c>
    </row>
    <row r="1314" spans="1:3">
      <c r="A1314">
        <v>5395</v>
      </c>
      <c r="B1314" t="s">
        <v>1669</v>
      </c>
      <c r="C1314">
        <v>0</v>
      </c>
    </row>
    <row r="1315" spans="1:3">
      <c r="A1315">
        <v>5398</v>
      </c>
      <c r="B1315" t="s">
        <v>428</v>
      </c>
      <c r="C1315">
        <v>22.7</v>
      </c>
    </row>
    <row r="1316" spans="1:3">
      <c r="A1316">
        <v>5403</v>
      </c>
      <c r="B1316" t="s">
        <v>1860</v>
      </c>
      <c r="C1316">
        <v>21.85</v>
      </c>
    </row>
    <row r="1317" spans="1:3">
      <c r="A1317">
        <v>5410</v>
      </c>
      <c r="B1317" t="s">
        <v>1670</v>
      </c>
      <c r="C1317">
        <v>11.25</v>
      </c>
    </row>
    <row r="1318" spans="1:3">
      <c r="A1318">
        <v>5425</v>
      </c>
      <c r="B1318" t="s">
        <v>429</v>
      </c>
      <c r="C1318">
        <v>33.549999999999997</v>
      </c>
    </row>
    <row r="1319" spans="1:3">
      <c r="A1319">
        <v>5426</v>
      </c>
      <c r="B1319" t="s">
        <v>430</v>
      </c>
      <c r="C1319">
        <v>10.75</v>
      </c>
    </row>
    <row r="1320" spans="1:3">
      <c r="A1320">
        <v>5432</v>
      </c>
      <c r="B1320" t="s">
        <v>1671</v>
      </c>
      <c r="C1320">
        <v>0</v>
      </c>
    </row>
    <row r="1321" spans="1:3">
      <c r="A1321">
        <v>5438</v>
      </c>
      <c r="B1321" t="s">
        <v>1672</v>
      </c>
      <c r="C1321">
        <v>13.15</v>
      </c>
    </row>
    <row r="1322" spans="1:3">
      <c r="A1322">
        <v>5439</v>
      </c>
      <c r="B1322" t="s">
        <v>431</v>
      </c>
      <c r="C1322">
        <v>18.899999999999999</v>
      </c>
    </row>
    <row r="1323" spans="1:3">
      <c r="A1323">
        <v>5443</v>
      </c>
      <c r="B1323" t="s">
        <v>1673</v>
      </c>
      <c r="C1323">
        <v>17.100000000000001</v>
      </c>
    </row>
    <row r="1324" spans="1:3">
      <c r="A1324">
        <v>5450</v>
      </c>
      <c r="B1324" t="s">
        <v>432</v>
      </c>
      <c r="C1324">
        <v>11.2</v>
      </c>
    </row>
    <row r="1325" spans="1:3">
      <c r="A1325">
        <v>5452</v>
      </c>
      <c r="B1325" t="s">
        <v>433</v>
      </c>
      <c r="C1325">
        <v>9.52</v>
      </c>
    </row>
    <row r="1326" spans="1:3">
      <c r="A1326">
        <v>5455</v>
      </c>
      <c r="B1326" t="s">
        <v>434</v>
      </c>
      <c r="C1326">
        <v>5.76</v>
      </c>
    </row>
    <row r="1327" spans="1:3">
      <c r="A1327">
        <v>5457</v>
      </c>
      <c r="B1327" t="s">
        <v>435</v>
      </c>
      <c r="C1327">
        <v>27.6</v>
      </c>
    </row>
    <row r="1328" spans="1:3">
      <c r="A1328">
        <v>5460</v>
      </c>
      <c r="B1328" t="s">
        <v>1674</v>
      </c>
      <c r="C1328">
        <v>11.3</v>
      </c>
    </row>
    <row r="1329" spans="1:3">
      <c r="A1329">
        <v>5464</v>
      </c>
      <c r="B1329" t="s">
        <v>1675</v>
      </c>
      <c r="C1329">
        <v>17.149999999999999</v>
      </c>
    </row>
    <row r="1330" spans="1:3">
      <c r="A1330">
        <v>5465</v>
      </c>
      <c r="B1330" t="s">
        <v>436</v>
      </c>
      <c r="C1330">
        <v>10</v>
      </c>
    </row>
    <row r="1331" spans="1:3">
      <c r="A1331">
        <v>5468</v>
      </c>
      <c r="B1331" t="s">
        <v>437</v>
      </c>
      <c r="C1331">
        <v>0</v>
      </c>
    </row>
    <row r="1332" spans="1:3">
      <c r="A1332">
        <v>5474</v>
      </c>
      <c r="B1332" t="s">
        <v>1676</v>
      </c>
      <c r="C1332">
        <v>64.7</v>
      </c>
    </row>
    <row r="1333" spans="1:3">
      <c r="A1333">
        <v>5475</v>
      </c>
      <c r="B1333" t="s">
        <v>1677</v>
      </c>
      <c r="C1333">
        <v>3.45</v>
      </c>
    </row>
    <row r="1334" spans="1:3">
      <c r="A1334">
        <v>5478</v>
      </c>
      <c r="B1334" t="s">
        <v>438</v>
      </c>
      <c r="C1334">
        <v>64.599999999999994</v>
      </c>
    </row>
    <row r="1335" spans="1:3">
      <c r="A1335">
        <v>5480</v>
      </c>
      <c r="B1335" t="s">
        <v>1678</v>
      </c>
      <c r="C1335">
        <v>10.9</v>
      </c>
    </row>
    <row r="1336" spans="1:3">
      <c r="A1336">
        <v>5481</v>
      </c>
      <c r="B1336" t="s">
        <v>1679</v>
      </c>
      <c r="C1336">
        <v>16.2</v>
      </c>
    </row>
    <row r="1337" spans="1:3">
      <c r="A1337">
        <v>5483</v>
      </c>
      <c r="B1337" t="s">
        <v>1680</v>
      </c>
      <c r="C1337">
        <v>45.15</v>
      </c>
    </row>
    <row r="1338" spans="1:3">
      <c r="A1338">
        <v>5487</v>
      </c>
      <c r="B1338" t="s">
        <v>439</v>
      </c>
      <c r="C1338">
        <v>20.5</v>
      </c>
    </row>
    <row r="1339" spans="1:3">
      <c r="A1339">
        <v>5488</v>
      </c>
      <c r="B1339" t="s">
        <v>1681</v>
      </c>
      <c r="C1339">
        <v>5.27</v>
      </c>
    </row>
    <row r="1340" spans="1:3">
      <c r="A1340">
        <v>5489</v>
      </c>
      <c r="B1340" t="s">
        <v>1682</v>
      </c>
      <c r="C1340">
        <v>52.4</v>
      </c>
    </row>
    <row r="1341" spans="1:3">
      <c r="A1341">
        <v>5490</v>
      </c>
      <c r="B1341" t="s">
        <v>440</v>
      </c>
      <c r="C1341">
        <v>77.900000000000006</v>
      </c>
    </row>
    <row r="1342" spans="1:3">
      <c r="A1342">
        <v>5491</v>
      </c>
      <c r="B1342" t="s">
        <v>1683</v>
      </c>
      <c r="C1342">
        <v>7.52</v>
      </c>
    </row>
    <row r="1343" spans="1:3">
      <c r="A1343">
        <v>5493</v>
      </c>
      <c r="B1343" t="s">
        <v>1684</v>
      </c>
      <c r="C1343">
        <v>31.55</v>
      </c>
    </row>
    <row r="1344" spans="1:3">
      <c r="A1344">
        <v>5498</v>
      </c>
      <c r="B1344" t="s">
        <v>1685</v>
      </c>
      <c r="C1344">
        <v>10.1</v>
      </c>
    </row>
    <row r="1345" spans="1:3">
      <c r="A1345">
        <v>5508</v>
      </c>
      <c r="B1345" t="s">
        <v>1686</v>
      </c>
      <c r="C1345">
        <v>28.35</v>
      </c>
    </row>
    <row r="1346" spans="1:3">
      <c r="A1346">
        <v>5511</v>
      </c>
      <c r="B1346" t="s">
        <v>1687</v>
      </c>
      <c r="C1346">
        <v>24.4</v>
      </c>
    </row>
    <row r="1347" spans="1:3">
      <c r="A1347">
        <v>5512</v>
      </c>
      <c r="B1347" t="s">
        <v>441</v>
      </c>
      <c r="C1347">
        <v>9.25</v>
      </c>
    </row>
    <row r="1348" spans="1:3">
      <c r="A1348">
        <v>5514</v>
      </c>
      <c r="B1348" t="s">
        <v>1688</v>
      </c>
      <c r="C1348">
        <v>9.34</v>
      </c>
    </row>
    <row r="1349" spans="1:3">
      <c r="A1349">
        <v>5516</v>
      </c>
      <c r="B1349" t="s">
        <v>1689</v>
      </c>
      <c r="C1349">
        <v>0</v>
      </c>
    </row>
    <row r="1350" spans="1:3">
      <c r="A1350">
        <v>5520</v>
      </c>
      <c r="B1350" t="s">
        <v>1690</v>
      </c>
      <c r="C1350">
        <v>26</v>
      </c>
    </row>
    <row r="1351" spans="1:3">
      <c r="A1351">
        <v>5523</v>
      </c>
      <c r="B1351" t="s">
        <v>442</v>
      </c>
      <c r="C1351">
        <v>7.64</v>
      </c>
    </row>
    <row r="1352" spans="1:3">
      <c r="A1352">
        <v>5529</v>
      </c>
      <c r="B1352" t="s">
        <v>1691</v>
      </c>
      <c r="C1352">
        <v>8.1199999999999992</v>
      </c>
    </row>
    <row r="1353" spans="1:3">
      <c r="A1353">
        <v>5530</v>
      </c>
      <c r="B1353" t="s">
        <v>1692</v>
      </c>
      <c r="C1353">
        <v>54.6</v>
      </c>
    </row>
    <row r="1354" spans="1:3">
      <c r="A1354">
        <v>5536</v>
      </c>
      <c r="B1354" t="s">
        <v>443</v>
      </c>
      <c r="C1354">
        <v>87.2</v>
      </c>
    </row>
    <row r="1355" spans="1:3">
      <c r="A1355">
        <v>5601</v>
      </c>
      <c r="B1355" t="s">
        <v>1693</v>
      </c>
      <c r="C1355">
        <v>26.7</v>
      </c>
    </row>
    <row r="1356" spans="1:3">
      <c r="A1356">
        <v>5603</v>
      </c>
      <c r="B1356" t="s">
        <v>444</v>
      </c>
      <c r="C1356">
        <v>14.3</v>
      </c>
    </row>
    <row r="1357" spans="1:3">
      <c r="A1357">
        <v>5604</v>
      </c>
      <c r="B1357" t="s">
        <v>1694</v>
      </c>
      <c r="C1357">
        <v>36</v>
      </c>
    </row>
    <row r="1358" spans="1:3">
      <c r="A1358">
        <v>5609</v>
      </c>
      <c r="B1358" t="s">
        <v>445</v>
      </c>
      <c r="C1358">
        <v>16.350000000000001</v>
      </c>
    </row>
    <row r="1359" spans="1:3">
      <c r="A1359">
        <v>5701</v>
      </c>
      <c r="B1359" t="s">
        <v>1695</v>
      </c>
      <c r="C1359">
        <v>3.49</v>
      </c>
    </row>
    <row r="1360" spans="1:3">
      <c r="A1360">
        <v>5703</v>
      </c>
      <c r="B1360" t="s">
        <v>1696</v>
      </c>
      <c r="C1360">
        <v>21.55</v>
      </c>
    </row>
    <row r="1361" spans="1:3">
      <c r="A1361">
        <v>5704</v>
      </c>
      <c r="B1361" t="s">
        <v>1697</v>
      </c>
      <c r="C1361">
        <v>26.95</v>
      </c>
    </row>
    <row r="1362" spans="1:3">
      <c r="A1362">
        <v>5820</v>
      </c>
      <c r="B1362" t="s">
        <v>1698</v>
      </c>
      <c r="C1362">
        <v>7.17</v>
      </c>
    </row>
    <row r="1363" spans="1:3">
      <c r="A1363">
        <v>5878</v>
      </c>
      <c r="B1363" t="s">
        <v>446</v>
      </c>
      <c r="C1363">
        <v>0</v>
      </c>
    </row>
    <row r="1364" spans="1:3">
      <c r="A1364">
        <v>5902</v>
      </c>
      <c r="B1364" t="s">
        <v>447</v>
      </c>
      <c r="C1364">
        <v>10.050000000000001</v>
      </c>
    </row>
    <row r="1365" spans="1:3">
      <c r="A1365">
        <v>5903</v>
      </c>
      <c r="B1365" t="s">
        <v>1699</v>
      </c>
      <c r="C1365">
        <v>200</v>
      </c>
    </row>
    <row r="1366" spans="1:3">
      <c r="A1366">
        <v>5904</v>
      </c>
      <c r="B1366" t="s">
        <v>448</v>
      </c>
      <c r="C1366">
        <v>310</v>
      </c>
    </row>
    <row r="1367" spans="1:3">
      <c r="A1367">
        <v>5905</v>
      </c>
      <c r="B1367" t="s">
        <v>1700</v>
      </c>
      <c r="C1367">
        <v>8.65</v>
      </c>
    </row>
    <row r="1368" spans="1:3">
      <c r="A1368">
        <v>6015</v>
      </c>
      <c r="B1368" t="s">
        <v>1701</v>
      </c>
      <c r="C1368">
        <v>6.31</v>
      </c>
    </row>
    <row r="1369" spans="1:3">
      <c r="A1369">
        <v>6016</v>
      </c>
      <c r="B1369" t="s">
        <v>1702</v>
      </c>
      <c r="C1369">
        <v>6.99</v>
      </c>
    </row>
    <row r="1370" spans="1:3">
      <c r="A1370">
        <v>6020</v>
      </c>
      <c r="B1370" t="s">
        <v>449</v>
      </c>
      <c r="C1370">
        <v>13.2</v>
      </c>
    </row>
    <row r="1371" spans="1:3">
      <c r="A1371">
        <v>6021</v>
      </c>
      <c r="B1371" t="s">
        <v>450</v>
      </c>
      <c r="C1371">
        <v>10.35</v>
      </c>
    </row>
    <row r="1372" spans="1:3">
      <c r="A1372">
        <v>6022</v>
      </c>
      <c r="B1372" t="s">
        <v>1703</v>
      </c>
      <c r="C1372">
        <v>9.67</v>
      </c>
    </row>
    <row r="1373" spans="1:3">
      <c r="A1373">
        <v>6023</v>
      </c>
      <c r="B1373" t="s">
        <v>1704</v>
      </c>
      <c r="C1373">
        <v>35.9</v>
      </c>
    </row>
    <row r="1374" spans="1:3">
      <c r="A1374">
        <v>6024</v>
      </c>
      <c r="B1374" t="s">
        <v>451</v>
      </c>
      <c r="C1374">
        <v>29.95</v>
      </c>
    </row>
    <row r="1375" spans="1:3">
      <c r="A1375">
        <v>6101</v>
      </c>
      <c r="B1375" t="s">
        <v>1705</v>
      </c>
      <c r="C1375">
        <v>15.25</v>
      </c>
    </row>
    <row r="1376" spans="1:3">
      <c r="A1376">
        <v>6103</v>
      </c>
      <c r="B1376" t="s">
        <v>1706</v>
      </c>
      <c r="C1376">
        <v>0</v>
      </c>
    </row>
    <row r="1377" spans="1:3">
      <c r="A1377">
        <v>6104</v>
      </c>
      <c r="B1377" t="s">
        <v>1707</v>
      </c>
      <c r="C1377">
        <v>45.8</v>
      </c>
    </row>
    <row r="1378" spans="1:3">
      <c r="A1378">
        <v>6105</v>
      </c>
      <c r="B1378" t="s">
        <v>1708</v>
      </c>
      <c r="C1378">
        <v>41.7</v>
      </c>
    </row>
    <row r="1379" spans="1:3">
      <c r="A1379">
        <v>6107</v>
      </c>
      <c r="B1379" t="s">
        <v>1709</v>
      </c>
      <c r="C1379">
        <v>74.5</v>
      </c>
    </row>
    <row r="1380" spans="1:3">
      <c r="A1380">
        <v>6109</v>
      </c>
      <c r="B1380" t="s">
        <v>1710</v>
      </c>
      <c r="C1380">
        <v>13.1</v>
      </c>
    </row>
    <row r="1381" spans="1:3">
      <c r="A1381">
        <v>6111</v>
      </c>
      <c r="B1381" t="s">
        <v>1711</v>
      </c>
      <c r="C1381">
        <v>125</v>
      </c>
    </row>
    <row r="1382" spans="1:3">
      <c r="A1382">
        <v>6113</v>
      </c>
      <c r="B1382" t="s">
        <v>1712</v>
      </c>
      <c r="C1382">
        <v>8.08</v>
      </c>
    </row>
    <row r="1383" spans="1:3">
      <c r="A1383">
        <v>6114</v>
      </c>
      <c r="B1383" t="s">
        <v>1713</v>
      </c>
      <c r="C1383">
        <v>54.2</v>
      </c>
    </row>
    <row r="1384" spans="1:3">
      <c r="A1384">
        <v>6118</v>
      </c>
      <c r="B1384" t="s">
        <v>1714</v>
      </c>
      <c r="C1384">
        <v>8.17</v>
      </c>
    </row>
    <row r="1385" spans="1:3">
      <c r="A1385">
        <v>6121</v>
      </c>
      <c r="B1385" t="s">
        <v>452</v>
      </c>
      <c r="C1385">
        <v>107.5</v>
      </c>
    </row>
    <row r="1386" spans="1:3">
      <c r="A1386">
        <v>6122</v>
      </c>
      <c r="B1386" t="s">
        <v>1715</v>
      </c>
      <c r="C1386">
        <v>6.51</v>
      </c>
    </row>
    <row r="1387" spans="1:3">
      <c r="A1387">
        <v>6123</v>
      </c>
      <c r="B1387" t="s">
        <v>1716</v>
      </c>
      <c r="C1387">
        <v>27.7</v>
      </c>
    </row>
    <row r="1388" spans="1:3">
      <c r="A1388">
        <v>6124</v>
      </c>
      <c r="B1388" t="s">
        <v>1717</v>
      </c>
      <c r="C1388">
        <v>27.4</v>
      </c>
    </row>
    <row r="1389" spans="1:3">
      <c r="A1389">
        <v>6125</v>
      </c>
      <c r="B1389" t="s">
        <v>453</v>
      </c>
      <c r="C1389">
        <v>12.45</v>
      </c>
    </row>
    <row r="1390" spans="1:3">
      <c r="A1390">
        <v>6126</v>
      </c>
      <c r="B1390" t="s">
        <v>1718</v>
      </c>
      <c r="C1390">
        <v>8.61</v>
      </c>
    </row>
    <row r="1391" spans="1:3">
      <c r="A1391">
        <v>6127</v>
      </c>
      <c r="B1391" t="s">
        <v>1719</v>
      </c>
      <c r="C1391">
        <v>9.1999999999999993</v>
      </c>
    </row>
    <row r="1392" spans="1:3">
      <c r="A1392">
        <v>6129</v>
      </c>
      <c r="B1392" t="s">
        <v>1720</v>
      </c>
      <c r="C1392">
        <v>7.15</v>
      </c>
    </row>
    <row r="1393" spans="1:3">
      <c r="A1393">
        <v>6130</v>
      </c>
      <c r="B1393" t="s">
        <v>454</v>
      </c>
      <c r="C1393">
        <v>27.75</v>
      </c>
    </row>
    <row r="1394" spans="1:3">
      <c r="A1394">
        <v>6134</v>
      </c>
      <c r="B1394" t="s">
        <v>1721</v>
      </c>
      <c r="C1394">
        <v>6.58</v>
      </c>
    </row>
    <row r="1395" spans="1:3">
      <c r="A1395">
        <v>6138</v>
      </c>
      <c r="B1395" t="s">
        <v>1722</v>
      </c>
      <c r="C1395">
        <v>23.9</v>
      </c>
    </row>
    <row r="1396" spans="1:3">
      <c r="A1396">
        <v>6140</v>
      </c>
      <c r="B1396" t="s">
        <v>1723</v>
      </c>
      <c r="C1396">
        <v>10.85</v>
      </c>
    </row>
    <row r="1397" spans="1:3">
      <c r="A1397">
        <v>6143</v>
      </c>
      <c r="B1397" t="s">
        <v>1724</v>
      </c>
      <c r="C1397">
        <v>56.5</v>
      </c>
    </row>
    <row r="1398" spans="1:3">
      <c r="A1398">
        <v>6144</v>
      </c>
      <c r="B1398" t="s">
        <v>1725</v>
      </c>
      <c r="C1398">
        <v>9</v>
      </c>
    </row>
    <row r="1399" spans="1:3">
      <c r="A1399">
        <v>6146</v>
      </c>
      <c r="B1399" t="s">
        <v>455</v>
      </c>
      <c r="C1399">
        <v>207</v>
      </c>
    </row>
    <row r="1400" spans="1:3">
      <c r="A1400">
        <v>6147</v>
      </c>
      <c r="B1400" t="s">
        <v>1726</v>
      </c>
      <c r="C1400">
        <v>48.1</v>
      </c>
    </row>
    <row r="1401" spans="1:3">
      <c r="A1401">
        <v>6148</v>
      </c>
      <c r="B1401" t="s">
        <v>1727</v>
      </c>
      <c r="C1401">
        <v>8.42</v>
      </c>
    </row>
    <row r="1402" spans="1:3">
      <c r="A1402">
        <v>6150</v>
      </c>
      <c r="B1402" t="s">
        <v>1728</v>
      </c>
      <c r="C1402">
        <v>6.79</v>
      </c>
    </row>
    <row r="1403" spans="1:3">
      <c r="A1403">
        <v>6151</v>
      </c>
      <c r="B1403" t="s">
        <v>1729</v>
      </c>
      <c r="C1403">
        <v>22.8</v>
      </c>
    </row>
    <row r="1404" spans="1:3">
      <c r="A1404">
        <v>6154</v>
      </c>
      <c r="B1404" t="s">
        <v>456</v>
      </c>
      <c r="C1404">
        <v>16.8</v>
      </c>
    </row>
    <row r="1405" spans="1:3">
      <c r="A1405">
        <v>6156</v>
      </c>
      <c r="B1405" t="s">
        <v>1862</v>
      </c>
      <c r="C1405">
        <v>13.05</v>
      </c>
    </row>
    <row r="1406" spans="1:3">
      <c r="A1406">
        <v>6158</v>
      </c>
      <c r="B1406" t="s">
        <v>457</v>
      </c>
      <c r="C1406">
        <v>17.649999999999999</v>
      </c>
    </row>
    <row r="1407" spans="1:3">
      <c r="A1407">
        <v>6160</v>
      </c>
      <c r="B1407" t="s">
        <v>1730</v>
      </c>
      <c r="C1407">
        <v>17</v>
      </c>
    </row>
    <row r="1408" spans="1:3">
      <c r="A1408">
        <v>6161</v>
      </c>
      <c r="B1408" t="s">
        <v>458</v>
      </c>
      <c r="C1408">
        <v>7.06</v>
      </c>
    </row>
    <row r="1409" spans="1:3">
      <c r="A1409">
        <v>6163</v>
      </c>
      <c r="B1409" t="s">
        <v>459</v>
      </c>
      <c r="C1409">
        <v>10.75</v>
      </c>
    </row>
    <row r="1410" spans="1:3">
      <c r="A1410">
        <v>6167</v>
      </c>
      <c r="B1410" t="s">
        <v>1731</v>
      </c>
      <c r="C1410">
        <v>4.4800000000000004</v>
      </c>
    </row>
    <row r="1411" spans="1:3">
      <c r="A1411">
        <v>6169</v>
      </c>
      <c r="B1411" t="s">
        <v>1732</v>
      </c>
      <c r="C1411">
        <v>30.05</v>
      </c>
    </row>
    <row r="1412" spans="1:3">
      <c r="A1412">
        <v>6170</v>
      </c>
      <c r="B1412" t="s">
        <v>460</v>
      </c>
      <c r="C1412">
        <v>10.15</v>
      </c>
    </row>
    <row r="1413" spans="1:3">
      <c r="A1413">
        <v>6171</v>
      </c>
      <c r="B1413" t="s">
        <v>461</v>
      </c>
      <c r="C1413">
        <v>13.4</v>
      </c>
    </row>
    <row r="1414" spans="1:3">
      <c r="A1414">
        <v>6173</v>
      </c>
      <c r="B1414" t="s">
        <v>1733</v>
      </c>
      <c r="C1414">
        <v>10.4</v>
      </c>
    </row>
    <row r="1415" spans="1:3">
      <c r="A1415">
        <v>6174</v>
      </c>
      <c r="B1415" t="s">
        <v>1734</v>
      </c>
      <c r="C1415">
        <v>14.1</v>
      </c>
    </row>
    <row r="1416" spans="1:3">
      <c r="A1416">
        <v>6175</v>
      </c>
      <c r="B1416" t="s">
        <v>462</v>
      </c>
      <c r="C1416">
        <v>13</v>
      </c>
    </row>
    <row r="1417" spans="1:3">
      <c r="A1417">
        <v>6179</v>
      </c>
      <c r="B1417" t="s">
        <v>463</v>
      </c>
      <c r="C1417">
        <v>35.4</v>
      </c>
    </row>
    <row r="1418" spans="1:3">
      <c r="A1418">
        <v>6180</v>
      </c>
      <c r="B1418" t="s">
        <v>1735</v>
      </c>
      <c r="C1418">
        <v>42.6</v>
      </c>
    </row>
    <row r="1419" spans="1:3">
      <c r="A1419">
        <v>6182</v>
      </c>
      <c r="B1419" t="s">
        <v>464</v>
      </c>
      <c r="C1419">
        <v>13.05</v>
      </c>
    </row>
    <row r="1420" spans="1:3">
      <c r="A1420">
        <v>6185</v>
      </c>
      <c r="B1420" t="s">
        <v>1736</v>
      </c>
      <c r="C1420">
        <v>24.3</v>
      </c>
    </row>
    <row r="1421" spans="1:3">
      <c r="A1421">
        <v>6186</v>
      </c>
      <c r="B1421" t="s">
        <v>465</v>
      </c>
      <c r="C1421">
        <v>22</v>
      </c>
    </row>
    <row r="1422" spans="1:3">
      <c r="A1422">
        <v>6187</v>
      </c>
      <c r="B1422" t="s">
        <v>1737</v>
      </c>
      <c r="C1422">
        <v>43.7</v>
      </c>
    </row>
    <row r="1423" spans="1:3">
      <c r="A1423">
        <v>6188</v>
      </c>
      <c r="B1423" t="s">
        <v>1738</v>
      </c>
      <c r="C1423">
        <v>25.65</v>
      </c>
    </row>
    <row r="1424" spans="1:3">
      <c r="A1424">
        <v>6190</v>
      </c>
      <c r="B1424" t="s">
        <v>466</v>
      </c>
      <c r="C1424">
        <v>5.88</v>
      </c>
    </row>
    <row r="1425" spans="1:3">
      <c r="A1425">
        <v>6194</v>
      </c>
      <c r="B1425" t="s">
        <v>1739</v>
      </c>
      <c r="C1425">
        <v>19.55</v>
      </c>
    </row>
    <row r="1426" spans="1:3">
      <c r="A1426">
        <v>6195</v>
      </c>
      <c r="B1426" t="s">
        <v>467</v>
      </c>
      <c r="C1426">
        <v>48.3</v>
      </c>
    </row>
    <row r="1427" spans="1:3">
      <c r="A1427">
        <v>6198</v>
      </c>
      <c r="B1427" t="s">
        <v>1740</v>
      </c>
      <c r="C1427">
        <v>15.5</v>
      </c>
    </row>
    <row r="1428" spans="1:3">
      <c r="A1428">
        <v>6199</v>
      </c>
      <c r="B1428" t="s">
        <v>1741</v>
      </c>
      <c r="C1428">
        <v>0</v>
      </c>
    </row>
    <row r="1429" spans="1:3">
      <c r="A1429">
        <v>6203</v>
      </c>
      <c r="B1429" t="s">
        <v>468</v>
      </c>
      <c r="C1429">
        <v>31.9</v>
      </c>
    </row>
    <row r="1430" spans="1:3">
      <c r="A1430">
        <v>6204</v>
      </c>
      <c r="B1430" t="s">
        <v>1742</v>
      </c>
      <c r="C1430">
        <v>21.9</v>
      </c>
    </row>
    <row r="1431" spans="1:3">
      <c r="A1431">
        <v>6207</v>
      </c>
      <c r="B1431" t="s">
        <v>469</v>
      </c>
      <c r="C1431">
        <v>26.3</v>
      </c>
    </row>
    <row r="1432" spans="1:3">
      <c r="A1432">
        <v>6208</v>
      </c>
      <c r="B1432" t="s">
        <v>1743</v>
      </c>
      <c r="C1432">
        <v>10.95</v>
      </c>
    </row>
    <row r="1433" spans="1:3">
      <c r="A1433">
        <v>6210</v>
      </c>
      <c r="B1433" t="s">
        <v>1744</v>
      </c>
      <c r="C1433">
        <v>45</v>
      </c>
    </row>
    <row r="1434" spans="1:3">
      <c r="A1434">
        <v>6211</v>
      </c>
      <c r="B1434" t="s">
        <v>1745</v>
      </c>
      <c r="C1434">
        <v>21.25</v>
      </c>
    </row>
    <row r="1435" spans="1:3">
      <c r="A1435">
        <v>6212</v>
      </c>
      <c r="B1435" t="s">
        <v>470</v>
      </c>
      <c r="C1435">
        <v>25.6</v>
      </c>
    </row>
    <row r="1436" spans="1:3">
      <c r="A1436">
        <v>6217</v>
      </c>
      <c r="B1436" t="s">
        <v>1746</v>
      </c>
      <c r="C1436">
        <v>44.8</v>
      </c>
    </row>
    <row r="1437" spans="1:3">
      <c r="A1437">
        <v>6218</v>
      </c>
      <c r="B1437" t="s">
        <v>1747</v>
      </c>
      <c r="C1437">
        <v>16.350000000000001</v>
      </c>
    </row>
    <row r="1438" spans="1:3">
      <c r="A1438">
        <v>6219</v>
      </c>
      <c r="B1438" t="s">
        <v>1748</v>
      </c>
      <c r="C1438">
        <v>11.85</v>
      </c>
    </row>
    <row r="1439" spans="1:3">
      <c r="A1439">
        <v>6220</v>
      </c>
      <c r="B1439" t="s">
        <v>471</v>
      </c>
      <c r="C1439">
        <v>16.100000000000001</v>
      </c>
    </row>
    <row r="1440" spans="1:3">
      <c r="A1440">
        <v>6221</v>
      </c>
      <c r="B1440" t="s">
        <v>472</v>
      </c>
      <c r="C1440">
        <v>23.35</v>
      </c>
    </row>
    <row r="1441" spans="1:3">
      <c r="A1441">
        <v>6222</v>
      </c>
      <c r="B1441" t="s">
        <v>1749</v>
      </c>
      <c r="C1441">
        <v>7</v>
      </c>
    </row>
    <row r="1442" spans="1:3">
      <c r="A1442">
        <v>6223</v>
      </c>
      <c r="B1442" t="s">
        <v>473</v>
      </c>
      <c r="C1442">
        <v>61.3</v>
      </c>
    </row>
    <row r="1443" spans="1:3">
      <c r="A1443">
        <v>6227</v>
      </c>
      <c r="B1443" t="s">
        <v>474</v>
      </c>
      <c r="C1443">
        <v>17.649999999999999</v>
      </c>
    </row>
    <row r="1444" spans="1:3">
      <c r="A1444">
        <v>6228</v>
      </c>
      <c r="B1444" t="s">
        <v>1750</v>
      </c>
      <c r="C1444">
        <v>10.5</v>
      </c>
    </row>
    <row r="1445" spans="1:3">
      <c r="A1445">
        <v>6229</v>
      </c>
      <c r="B1445" t="s">
        <v>475</v>
      </c>
      <c r="C1445">
        <v>11.15</v>
      </c>
    </row>
    <row r="1446" spans="1:3">
      <c r="A1446">
        <v>6231</v>
      </c>
      <c r="B1446" t="s">
        <v>476</v>
      </c>
      <c r="C1446">
        <v>25.05</v>
      </c>
    </row>
    <row r="1447" spans="1:3">
      <c r="A1447">
        <v>6233</v>
      </c>
      <c r="B1447" t="s">
        <v>1751</v>
      </c>
      <c r="C1447">
        <v>14.15</v>
      </c>
    </row>
    <row r="1448" spans="1:3">
      <c r="A1448">
        <v>6234</v>
      </c>
      <c r="B1448" t="s">
        <v>477</v>
      </c>
      <c r="C1448">
        <v>18.5</v>
      </c>
    </row>
    <row r="1449" spans="1:3">
      <c r="A1449">
        <v>6236</v>
      </c>
      <c r="B1449" t="s">
        <v>478</v>
      </c>
      <c r="C1449">
        <v>31.8</v>
      </c>
    </row>
    <row r="1450" spans="1:3">
      <c r="A1450">
        <v>6237</v>
      </c>
      <c r="B1450" t="s">
        <v>479</v>
      </c>
      <c r="C1450">
        <v>36.1</v>
      </c>
    </row>
    <row r="1451" spans="1:3">
      <c r="A1451">
        <v>6238</v>
      </c>
      <c r="B1451" t="s">
        <v>1752</v>
      </c>
      <c r="C1451">
        <v>177.5</v>
      </c>
    </row>
    <row r="1452" spans="1:3">
      <c r="A1452">
        <v>6240</v>
      </c>
      <c r="B1452" t="s">
        <v>1753</v>
      </c>
      <c r="C1452">
        <v>0</v>
      </c>
    </row>
    <row r="1453" spans="1:3">
      <c r="A1453">
        <v>6241</v>
      </c>
      <c r="B1453" t="s">
        <v>480</v>
      </c>
      <c r="C1453">
        <v>13.5</v>
      </c>
    </row>
    <row r="1454" spans="1:3">
      <c r="A1454">
        <v>6242</v>
      </c>
      <c r="B1454" t="s">
        <v>1754</v>
      </c>
      <c r="C1454">
        <v>0</v>
      </c>
    </row>
    <row r="1455" spans="1:3">
      <c r="A1455">
        <v>6244</v>
      </c>
      <c r="B1455" t="s">
        <v>481</v>
      </c>
      <c r="C1455">
        <v>46.8</v>
      </c>
    </row>
    <row r="1456" spans="1:3">
      <c r="A1456">
        <v>6245</v>
      </c>
      <c r="B1456" t="s">
        <v>1755</v>
      </c>
      <c r="C1456">
        <v>39.950000000000003</v>
      </c>
    </row>
    <row r="1457" spans="1:3">
      <c r="A1457">
        <v>6246</v>
      </c>
      <c r="B1457" t="s">
        <v>482</v>
      </c>
      <c r="C1457">
        <v>3.24</v>
      </c>
    </row>
    <row r="1458" spans="1:3">
      <c r="A1458">
        <v>6247</v>
      </c>
      <c r="B1458" t="s">
        <v>1756</v>
      </c>
      <c r="C1458">
        <v>14.5</v>
      </c>
    </row>
    <row r="1459" spans="1:3">
      <c r="A1459">
        <v>6259</v>
      </c>
      <c r="B1459" t="s">
        <v>485</v>
      </c>
      <c r="C1459">
        <v>9.61</v>
      </c>
    </row>
    <row r="1460" spans="1:3">
      <c r="A1460">
        <v>6261</v>
      </c>
      <c r="B1460" t="s">
        <v>486</v>
      </c>
      <c r="C1460">
        <v>50.4</v>
      </c>
    </row>
    <row r="1461" spans="1:3">
      <c r="A1461">
        <v>6263</v>
      </c>
      <c r="B1461" t="s">
        <v>1757</v>
      </c>
      <c r="C1461">
        <v>43.1</v>
      </c>
    </row>
    <row r="1462" spans="1:3">
      <c r="A1462">
        <v>6264</v>
      </c>
      <c r="B1462" t="s">
        <v>487</v>
      </c>
      <c r="C1462">
        <v>5.79</v>
      </c>
    </row>
    <row r="1463" spans="1:3">
      <c r="A1463">
        <v>6265</v>
      </c>
      <c r="B1463" t="s">
        <v>488</v>
      </c>
      <c r="C1463">
        <v>6.71</v>
      </c>
    </row>
    <row r="1464" spans="1:3">
      <c r="A1464">
        <v>6266</v>
      </c>
      <c r="B1464" t="s">
        <v>1758</v>
      </c>
      <c r="C1464">
        <v>13.1</v>
      </c>
    </row>
    <row r="1465" spans="1:3">
      <c r="A1465">
        <v>6270</v>
      </c>
      <c r="B1465" t="s">
        <v>1759</v>
      </c>
      <c r="C1465">
        <v>10.4</v>
      </c>
    </row>
    <row r="1466" spans="1:3">
      <c r="A1466">
        <v>6274</v>
      </c>
      <c r="B1466" t="s">
        <v>489</v>
      </c>
      <c r="C1466">
        <v>27.7</v>
      </c>
    </row>
    <row r="1467" spans="1:3">
      <c r="A1467">
        <v>6275</v>
      </c>
      <c r="B1467" t="s">
        <v>1760</v>
      </c>
      <c r="C1467">
        <v>11.9</v>
      </c>
    </row>
    <row r="1468" spans="1:3">
      <c r="A1468">
        <v>6276</v>
      </c>
      <c r="B1468" t="s">
        <v>490</v>
      </c>
      <c r="C1468">
        <v>7.09</v>
      </c>
    </row>
    <row r="1469" spans="1:3">
      <c r="A1469">
        <v>6279</v>
      </c>
      <c r="B1469" t="s">
        <v>1761</v>
      </c>
      <c r="C1469">
        <v>132.5</v>
      </c>
    </row>
    <row r="1470" spans="1:3">
      <c r="A1470">
        <v>6284</v>
      </c>
      <c r="B1470" t="s">
        <v>1762</v>
      </c>
      <c r="C1470">
        <v>20.399999999999999</v>
      </c>
    </row>
    <row r="1471" spans="1:3">
      <c r="A1471">
        <v>6287</v>
      </c>
      <c r="B1471" t="s">
        <v>1763</v>
      </c>
      <c r="C1471">
        <v>0</v>
      </c>
    </row>
    <row r="1472" spans="1:3">
      <c r="A1472">
        <v>6290</v>
      </c>
      <c r="B1472" t="s">
        <v>1764</v>
      </c>
      <c r="C1472">
        <v>29.6</v>
      </c>
    </row>
    <row r="1473" spans="1:3">
      <c r="A1473">
        <v>6291</v>
      </c>
      <c r="B1473" t="s">
        <v>491</v>
      </c>
      <c r="C1473">
        <v>2.91</v>
      </c>
    </row>
    <row r="1474" spans="1:3">
      <c r="A1474">
        <v>6292</v>
      </c>
      <c r="B1474" t="s">
        <v>1765</v>
      </c>
      <c r="C1474">
        <v>27.9</v>
      </c>
    </row>
    <row r="1475" spans="1:3">
      <c r="A1475">
        <v>6294</v>
      </c>
      <c r="B1475" t="s">
        <v>1766</v>
      </c>
      <c r="C1475">
        <v>84</v>
      </c>
    </row>
    <row r="1476" spans="1:3">
      <c r="A1476">
        <v>6298</v>
      </c>
      <c r="B1476" t="s">
        <v>1767</v>
      </c>
      <c r="C1476">
        <v>16.45</v>
      </c>
    </row>
    <row r="1477" spans="1:3">
      <c r="A1477">
        <v>6404</v>
      </c>
      <c r="B1477" t="s">
        <v>1768</v>
      </c>
      <c r="C1477">
        <v>43.9</v>
      </c>
    </row>
    <row r="1478" spans="1:3">
      <c r="A1478">
        <v>6411</v>
      </c>
      <c r="B1478" t="s">
        <v>492</v>
      </c>
      <c r="C1478">
        <v>33.25</v>
      </c>
    </row>
    <row r="1479" spans="1:3">
      <c r="A1479">
        <v>6417</v>
      </c>
      <c r="B1479" t="s">
        <v>538</v>
      </c>
      <c r="C1479">
        <v>45.8</v>
      </c>
    </row>
    <row r="1480" spans="1:3">
      <c r="A1480">
        <v>6419</v>
      </c>
      <c r="B1480" t="s">
        <v>1769</v>
      </c>
      <c r="C1480">
        <v>20.9</v>
      </c>
    </row>
    <row r="1481" spans="1:3">
      <c r="A1481">
        <v>6426</v>
      </c>
      <c r="B1481" t="s">
        <v>493</v>
      </c>
      <c r="C1481">
        <v>36.4</v>
      </c>
    </row>
    <row r="1482" spans="1:3">
      <c r="A1482">
        <v>6432</v>
      </c>
      <c r="B1482" t="s">
        <v>1770</v>
      </c>
      <c r="C1482">
        <v>31.6</v>
      </c>
    </row>
    <row r="1483" spans="1:3">
      <c r="A1483">
        <v>6457</v>
      </c>
      <c r="B1483" t="s">
        <v>1771</v>
      </c>
      <c r="C1483">
        <v>38.299999999999997</v>
      </c>
    </row>
    <row r="1484" spans="1:3">
      <c r="A1484">
        <v>6462</v>
      </c>
      <c r="B1484" t="s">
        <v>2459</v>
      </c>
      <c r="C1484">
        <v>117</v>
      </c>
    </row>
    <row r="1485" spans="1:3">
      <c r="A1485">
        <v>6465</v>
      </c>
      <c r="B1485" t="s">
        <v>1941</v>
      </c>
      <c r="C1485">
        <v>77.099999999999994</v>
      </c>
    </row>
    <row r="1486" spans="1:3">
      <c r="A1486">
        <v>6470</v>
      </c>
      <c r="B1486" t="s">
        <v>1919</v>
      </c>
      <c r="C1486">
        <v>49.4</v>
      </c>
    </row>
    <row r="1487" spans="1:3">
      <c r="A1487">
        <v>6485</v>
      </c>
      <c r="B1487" t="s">
        <v>1942</v>
      </c>
      <c r="C1487">
        <v>57.5</v>
      </c>
    </row>
    <row r="1488" spans="1:3">
      <c r="A1488">
        <v>6488</v>
      </c>
      <c r="B1488" t="s">
        <v>1772</v>
      </c>
      <c r="C1488">
        <v>78.5</v>
      </c>
    </row>
    <row r="1489" spans="1:3">
      <c r="A1489">
        <v>6506</v>
      </c>
      <c r="B1489" t="s">
        <v>1773</v>
      </c>
      <c r="C1489">
        <v>18.7</v>
      </c>
    </row>
    <row r="1490" spans="1:3">
      <c r="A1490">
        <v>6508</v>
      </c>
      <c r="B1490" t="s">
        <v>494</v>
      </c>
      <c r="C1490">
        <v>26.25</v>
      </c>
    </row>
    <row r="1491" spans="1:3">
      <c r="A1491">
        <v>6509</v>
      </c>
      <c r="B1491" t="s">
        <v>495</v>
      </c>
      <c r="C1491">
        <v>19.95</v>
      </c>
    </row>
    <row r="1492" spans="1:3">
      <c r="A1492">
        <v>6514</v>
      </c>
      <c r="B1492" t="s">
        <v>1968</v>
      </c>
      <c r="C1492">
        <v>74.900000000000006</v>
      </c>
    </row>
    <row r="1493" spans="1:3">
      <c r="A1493">
        <v>6603</v>
      </c>
      <c r="B1493" t="s">
        <v>496</v>
      </c>
      <c r="C1493">
        <v>10.3</v>
      </c>
    </row>
    <row r="1494" spans="1:3">
      <c r="A1494">
        <v>6609</v>
      </c>
      <c r="B1494" t="s">
        <v>497</v>
      </c>
      <c r="C1494">
        <v>25.8</v>
      </c>
    </row>
    <row r="1495" spans="1:3">
      <c r="A1495">
        <v>6803</v>
      </c>
      <c r="B1495" t="s">
        <v>1774</v>
      </c>
      <c r="C1495">
        <v>159.5</v>
      </c>
    </row>
    <row r="1496" spans="1:3">
      <c r="A1496">
        <v>8024</v>
      </c>
      <c r="B1496" t="s">
        <v>498</v>
      </c>
      <c r="C1496">
        <v>10.7</v>
      </c>
    </row>
    <row r="1497" spans="1:3">
      <c r="A1497">
        <v>8027</v>
      </c>
      <c r="B1497" t="s">
        <v>1775</v>
      </c>
      <c r="C1497">
        <v>20</v>
      </c>
    </row>
    <row r="1498" spans="1:3">
      <c r="A1498">
        <v>8032</v>
      </c>
      <c r="B1498" t="s">
        <v>1776</v>
      </c>
      <c r="C1498">
        <v>28.1</v>
      </c>
    </row>
    <row r="1499" spans="1:3">
      <c r="A1499">
        <v>8034</v>
      </c>
      <c r="B1499" t="s">
        <v>1777</v>
      </c>
      <c r="C1499">
        <v>5.45</v>
      </c>
    </row>
    <row r="1500" spans="1:3">
      <c r="A1500">
        <v>8038</v>
      </c>
      <c r="B1500" t="s">
        <v>499</v>
      </c>
      <c r="C1500">
        <v>49</v>
      </c>
    </row>
    <row r="1501" spans="1:3">
      <c r="A1501">
        <v>8040</v>
      </c>
      <c r="B1501" t="s">
        <v>1778</v>
      </c>
      <c r="C1501">
        <v>7.58</v>
      </c>
    </row>
    <row r="1502" spans="1:3">
      <c r="A1502">
        <v>8042</v>
      </c>
      <c r="B1502" t="s">
        <v>1779</v>
      </c>
      <c r="C1502">
        <v>36.25</v>
      </c>
    </row>
    <row r="1503" spans="1:3">
      <c r="A1503">
        <v>8043</v>
      </c>
      <c r="B1503" t="s">
        <v>1780</v>
      </c>
      <c r="C1503">
        <v>15</v>
      </c>
    </row>
    <row r="1504" spans="1:3">
      <c r="A1504">
        <v>8044</v>
      </c>
      <c r="B1504" t="s">
        <v>1781</v>
      </c>
      <c r="C1504">
        <v>332</v>
      </c>
    </row>
    <row r="1505" spans="1:3">
      <c r="A1505">
        <v>8047</v>
      </c>
      <c r="B1505" t="s">
        <v>1782</v>
      </c>
      <c r="C1505">
        <v>11.05</v>
      </c>
    </row>
    <row r="1506" spans="1:3">
      <c r="A1506">
        <v>8048</v>
      </c>
      <c r="B1506" t="s">
        <v>1783</v>
      </c>
      <c r="C1506">
        <v>43.25</v>
      </c>
    </row>
    <row r="1507" spans="1:3">
      <c r="A1507">
        <v>8049</v>
      </c>
      <c r="B1507" t="s">
        <v>1784</v>
      </c>
      <c r="C1507">
        <v>10.25</v>
      </c>
    </row>
    <row r="1508" spans="1:3">
      <c r="A1508">
        <v>8050</v>
      </c>
      <c r="B1508" t="s">
        <v>1785</v>
      </c>
      <c r="C1508">
        <v>51.2</v>
      </c>
    </row>
    <row r="1509" spans="1:3">
      <c r="A1509">
        <v>8053</v>
      </c>
      <c r="B1509" t="s">
        <v>1786</v>
      </c>
      <c r="C1509">
        <v>1.7</v>
      </c>
    </row>
    <row r="1510" spans="1:3">
      <c r="A1510">
        <v>8054</v>
      </c>
      <c r="B1510" t="s">
        <v>500</v>
      </c>
      <c r="C1510">
        <v>21</v>
      </c>
    </row>
    <row r="1511" spans="1:3">
      <c r="A1511">
        <v>8059</v>
      </c>
      <c r="B1511" t="s">
        <v>1787</v>
      </c>
      <c r="C1511">
        <v>11.65</v>
      </c>
    </row>
    <row r="1512" spans="1:3">
      <c r="A1512">
        <v>8064</v>
      </c>
      <c r="B1512" t="s">
        <v>501</v>
      </c>
      <c r="C1512">
        <v>12.65</v>
      </c>
    </row>
    <row r="1513" spans="1:3">
      <c r="A1513">
        <v>8066</v>
      </c>
      <c r="B1513" t="s">
        <v>1788</v>
      </c>
      <c r="C1513">
        <v>97.5</v>
      </c>
    </row>
    <row r="1514" spans="1:3">
      <c r="A1514">
        <v>8067</v>
      </c>
      <c r="B1514" t="s">
        <v>1789</v>
      </c>
      <c r="C1514">
        <v>0</v>
      </c>
    </row>
    <row r="1515" spans="1:3">
      <c r="A1515">
        <v>8068</v>
      </c>
      <c r="B1515" t="s">
        <v>502</v>
      </c>
      <c r="C1515">
        <v>0</v>
      </c>
    </row>
    <row r="1516" spans="1:3">
      <c r="A1516">
        <v>8069</v>
      </c>
      <c r="B1516" t="s">
        <v>1790</v>
      </c>
      <c r="C1516">
        <v>15.7</v>
      </c>
    </row>
    <row r="1517" spans="1:3">
      <c r="A1517">
        <v>8071</v>
      </c>
      <c r="B1517" t="s">
        <v>503</v>
      </c>
      <c r="C1517">
        <v>12.25</v>
      </c>
    </row>
    <row r="1518" spans="1:3">
      <c r="A1518">
        <v>8074</v>
      </c>
      <c r="B1518" t="s">
        <v>1791</v>
      </c>
      <c r="C1518">
        <v>23.95</v>
      </c>
    </row>
    <row r="1519" spans="1:3">
      <c r="A1519">
        <v>8076</v>
      </c>
      <c r="B1519" t="s">
        <v>1792</v>
      </c>
      <c r="C1519">
        <v>90.2</v>
      </c>
    </row>
    <row r="1520" spans="1:3">
      <c r="A1520">
        <v>8077</v>
      </c>
      <c r="B1520" t="s">
        <v>1793</v>
      </c>
      <c r="C1520">
        <v>0</v>
      </c>
    </row>
    <row r="1521" spans="1:3">
      <c r="A1521">
        <v>8079</v>
      </c>
      <c r="B1521" t="s">
        <v>1794</v>
      </c>
      <c r="C1521">
        <v>17.25</v>
      </c>
    </row>
    <row r="1522" spans="1:3">
      <c r="A1522">
        <v>8080</v>
      </c>
      <c r="B1522" t="s">
        <v>504</v>
      </c>
      <c r="C1522">
        <v>11.95</v>
      </c>
    </row>
    <row r="1523" spans="1:3">
      <c r="A1523">
        <v>8082</v>
      </c>
      <c r="B1523" t="s">
        <v>505</v>
      </c>
      <c r="C1523">
        <v>2.2000000000000002</v>
      </c>
    </row>
    <row r="1524" spans="1:3">
      <c r="A1524">
        <v>8083</v>
      </c>
      <c r="B1524" t="s">
        <v>506</v>
      </c>
      <c r="C1524">
        <v>132</v>
      </c>
    </row>
    <row r="1525" spans="1:3">
      <c r="A1525">
        <v>8084</v>
      </c>
      <c r="B1525" t="s">
        <v>1795</v>
      </c>
      <c r="C1525">
        <v>23.55</v>
      </c>
    </row>
    <row r="1526" spans="1:3">
      <c r="A1526">
        <v>8085</v>
      </c>
      <c r="B1526" t="s">
        <v>507</v>
      </c>
      <c r="C1526">
        <v>3.9</v>
      </c>
    </row>
    <row r="1527" spans="1:3">
      <c r="A1527">
        <v>8086</v>
      </c>
      <c r="B1527" t="s">
        <v>1796</v>
      </c>
      <c r="C1527">
        <v>89</v>
      </c>
    </row>
    <row r="1528" spans="1:3">
      <c r="A1528">
        <v>8087</v>
      </c>
      <c r="B1528" t="s">
        <v>508</v>
      </c>
      <c r="C1528">
        <v>0</v>
      </c>
    </row>
    <row r="1529" spans="1:3">
      <c r="A1529">
        <v>8088</v>
      </c>
      <c r="B1529" t="s">
        <v>509</v>
      </c>
      <c r="C1529">
        <v>16.850000000000001</v>
      </c>
    </row>
    <row r="1530" spans="1:3">
      <c r="A1530">
        <v>8091</v>
      </c>
      <c r="B1530" t="s">
        <v>1797</v>
      </c>
      <c r="C1530">
        <v>65</v>
      </c>
    </row>
    <row r="1531" spans="1:3">
      <c r="A1531">
        <v>8092</v>
      </c>
      <c r="B1531" t="s">
        <v>1798</v>
      </c>
      <c r="C1531">
        <v>7.29</v>
      </c>
    </row>
    <row r="1532" spans="1:3">
      <c r="A1532">
        <v>8093</v>
      </c>
      <c r="B1532" t="s">
        <v>1799</v>
      </c>
      <c r="C1532">
        <v>5.62</v>
      </c>
    </row>
    <row r="1533" spans="1:3">
      <c r="A1533">
        <v>8096</v>
      </c>
      <c r="B1533" t="s">
        <v>1800</v>
      </c>
      <c r="C1533">
        <v>19</v>
      </c>
    </row>
    <row r="1534" spans="1:3">
      <c r="A1534">
        <v>8097</v>
      </c>
      <c r="B1534" t="s">
        <v>1801</v>
      </c>
      <c r="C1534">
        <v>10.35</v>
      </c>
    </row>
    <row r="1535" spans="1:3">
      <c r="A1535">
        <v>8099</v>
      </c>
      <c r="B1535" t="s">
        <v>1802</v>
      </c>
      <c r="C1535">
        <v>18.3</v>
      </c>
    </row>
    <row r="1536" spans="1:3">
      <c r="A1536">
        <v>8107</v>
      </c>
      <c r="B1536" t="s">
        <v>510</v>
      </c>
      <c r="C1536">
        <v>17.850000000000001</v>
      </c>
    </row>
    <row r="1537" spans="1:3">
      <c r="A1537">
        <v>8109</v>
      </c>
      <c r="B1537" t="s">
        <v>1803</v>
      </c>
      <c r="C1537">
        <v>58.8</v>
      </c>
    </row>
    <row r="1538" spans="1:3">
      <c r="A1538">
        <v>8111</v>
      </c>
      <c r="B1538" t="s">
        <v>1804</v>
      </c>
      <c r="C1538">
        <v>4.08</v>
      </c>
    </row>
    <row r="1539" spans="1:3">
      <c r="A1539">
        <v>8121</v>
      </c>
      <c r="B1539" t="s">
        <v>1805</v>
      </c>
      <c r="C1539">
        <v>16.850000000000001</v>
      </c>
    </row>
    <row r="1540" spans="1:3">
      <c r="A1540">
        <v>8147</v>
      </c>
      <c r="B1540" t="s">
        <v>1806</v>
      </c>
      <c r="C1540">
        <v>42.6</v>
      </c>
    </row>
    <row r="1541" spans="1:3">
      <c r="A1541">
        <v>8155</v>
      </c>
      <c r="B1541" t="s">
        <v>1807</v>
      </c>
      <c r="C1541">
        <v>17.399999999999999</v>
      </c>
    </row>
    <row r="1542" spans="1:3">
      <c r="A1542">
        <v>8171</v>
      </c>
      <c r="B1542" t="s">
        <v>1808</v>
      </c>
      <c r="C1542">
        <v>11.1</v>
      </c>
    </row>
    <row r="1543" spans="1:3">
      <c r="A1543">
        <v>8176</v>
      </c>
      <c r="B1543" t="s">
        <v>1809</v>
      </c>
      <c r="C1543">
        <v>8.8800000000000008</v>
      </c>
    </row>
    <row r="1544" spans="1:3">
      <c r="A1544">
        <v>8182</v>
      </c>
      <c r="B1544" t="s">
        <v>1810</v>
      </c>
      <c r="C1544">
        <v>12.95</v>
      </c>
    </row>
    <row r="1545" spans="1:3">
      <c r="A1545">
        <v>8183</v>
      </c>
      <c r="B1545" t="s">
        <v>1811</v>
      </c>
      <c r="C1545">
        <v>5.18</v>
      </c>
    </row>
    <row r="1546" spans="1:3">
      <c r="A1546">
        <v>8234</v>
      </c>
      <c r="B1546" t="s">
        <v>511</v>
      </c>
      <c r="C1546">
        <v>31.5</v>
      </c>
    </row>
    <row r="1547" spans="1:3">
      <c r="A1547">
        <v>8240</v>
      </c>
      <c r="B1547" t="s">
        <v>1812</v>
      </c>
      <c r="C1547">
        <v>20.100000000000001</v>
      </c>
    </row>
    <row r="1548" spans="1:3">
      <c r="A1548">
        <v>8255</v>
      </c>
      <c r="B1548" t="s">
        <v>1813</v>
      </c>
      <c r="C1548">
        <v>114.5</v>
      </c>
    </row>
    <row r="1549" spans="1:3">
      <c r="A1549">
        <v>8266</v>
      </c>
      <c r="B1549" t="s">
        <v>1814</v>
      </c>
      <c r="C1549">
        <v>26.4</v>
      </c>
    </row>
    <row r="1550" spans="1:3">
      <c r="A1550">
        <v>8277</v>
      </c>
      <c r="B1550" t="s">
        <v>1815</v>
      </c>
      <c r="C1550">
        <v>7.3</v>
      </c>
    </row>
    <row r="1551" spans="1:3">
      <c r="A1551">
        <v>8287</v>
      </c>
      <c r="B1551" t="s">
        <v>1816</v>
      </c>
      <c r="C1551">
        <v>19.149999999999999</v>
      </c>
    </row>
    <row r="1552" spans="1:3">
      <c r="A1552">
        <v>8289</v>
      </c>
      <c r="B1552" t="s">
        <v>1817</v>
      </c>
      <c r="C1552">
        <v>11.25</v>
      </c>
    </row>
    <row r="1553" spans="1:3">
      <c r="A1553">
        <v>8291</v>
      </c>
      <c r="B1553" t="s">
        <v>1818</v>
      </c>
      <c r="C1553">
        <v>4.9000000000000004</v>
      </c>
    </row>
    <row r="1554" spans="1:3">
      <c r="A1554">
        <v>8299</v>
      </c>
      <c r="B1554" t="s">
        <v>1819</v>
      </c>
      <c r="C1554">
        <v>238.5</v>
      </c>
    </row>
    <row r="1555" spans="1:3">
      <c r="A1555">
        <v>8349</v>
      </c>
      <c r="B1555" t="s">
        <v>1820</v>
      </c>
      <c r="C1555">
        <v>83.9</v>
      </c>
    </row>
    <row r="1556" spans="1:3">
      <c r="A1556">
        <v>8354</v>
      </c>
      <c r="B1556" t="s">
        <v>1821</v>
      </c>
      <c r="C1556">
        <v>14.9</v>
      </c>
    </row>
    <row r="1557" spans="1:3">
      <c r="A1557">
        <v>8358</v>
      </c>
      <c r="B1557" t="s">
        <v>1822</v>
      </c>
      <c r="C1557">
        <v>8.6999999999999993</v>
      </c>
    </row>
    <row r="1558" spans="1:3">
      <c r="A1558">
        <v>8383</v>
      </c>
      <c r="B1558" t="s">
        <v>512</v>
      </c>
      <c r="C1558">
        <v>51.1</v>
      </c>
    </row>
    <row r="1559" spans="1:3">
      <c r="A1559">
        <v>8390</v>
      </c>
      <c r="B1559" t="s">
        <v>1823</v>
      </c>
      <c r="C1559">
        <v>14</v>
      </c>
    </row>
    <row r="1560" spans="1:3">
      <c r="A1560">
        <v>8401</v>
      </c>
      <c r="B1560" t="s">
        <v>1824</v>
      </c>
      <c r="C1560">
        <v>11.95</v>
      </c>
    </row>
    <row r="1561" spans="1:3">
      <c r="A1561">
        <v>8403</v>
      </c>
      <c r="B1561" t="s">
        <v>1825</v>
      </c>
      <c r="C1561">
        <v>45.6</v>
      </c>
    </row>
    <row r="1562" spans="1:3">
      <c r="A1562">
        <v>8406</v>
      </c>
      <c r="B1562" t="s">
        <v>1826</v>
      </c>
      <c r="C1562">
        <v>422.5</v>
      </c>
    </row>
    <row r="1563" spans="1:3">
      <c r="A1563">
        <v>8409</v>
      </c>
      <c r="B1563" t="s">
        <v>1827</v>
      </c>
      <c r="C1563">
        <v>31.1</v>
      </c>
    </row>
    <row r="1564" spans="1:3">
      <c r="A1564">
        <v>8410</v>
      </c>
      <c r="B1564" t="s">
        <v>513</v>
      </c>
      <c r="C1564">
        <v>17.7</v>
      </c>
    </row>
    <row r="1565" spans="1:3">
      <c r="A1565">
        <v>8416</v>
      </c>
      <c r="B1565" t="s">
        <v>514</v>
      </c>
      <c r="C1565">
        <v>96.3</v>
      </c>
    </row>
    <row r="1566" spans="1:3">
      <c r="A1566">
        <v>8418</v>
      </c>
      <c r="B1566" t="s">
        <v>1828</v>
      </c>
      <c r="C1566">
        <v>15.4</v>
      </c>
    </row>
    <row r="1567" spans="1:3">
      <c r="A1567">
        <v>8420</v>
      </c>
      <c r="B1567" t="s">
        <v>515</v>
      </c>
      <c r="C1567">
        <v>20.65</v>
      </c>
    </row>
    <row r="1568" spans="1:3">
      <c r="A1568">
        <v>8421</v>
      </c>
      <c r="B1568" t="s">
        <v>516</v>
      </c>
      <c r="C1568">
        <v>11.65</v>
      </c>
    </row>
    <row r="1569" spans="1:3">
      <c r="A1569">
        <v>8423</v>
      </c>
      <c r="B1569" t="s">
        <v>1829</v>
      </c>
      <c r="C1569">
        <v>22.25</v>
      </c>
    </row>
    <row r="1570" spans="1:3">
      <c r="A1570">
        <v>8424</v>
      </c>
      <c r="B1570" t="s">
        <v>517</v>
      </c>
      <c r="C1570">
        <v>38.700000000000003</v>
      </c>
    </row>
    <row r="1571" spans="1:3">
      <c r="A1571">
        <v>8426</v>
      </c>
      <c r="B1571" t="s">
        <v>1830</v>
      </c>
      <c r="C1571">
        <v>26.05</v>
      </c>
    </row>
    <row r="1572" spans="1:3">
      <c r="A1572">
        <v>8431</v>
      </c>
      <c r="B1572" t="s">
        <v>518</v>
      </c>
      <c r="C1572">
        <v>85.7</v>
      </c>
    </row>
    <row r="1573" spans="1:3">
      <c r="A1573">
        <v>8432</v>
      </c>
      <c r="B1573" t="s">
        <v>519</v>
      </c>
      <c r="C1573">
        <v>71.5</v>
      </c>
    </row>
    <row r="1574" spans="1:3">
      <c r="A1574">
        <v>8433</v>
      </c>
      <c r="B1574" t="s">
        <v>520</v>
      </c>
      <c r="C1574">
        <v>126</v>
      </c>
    </row>
    <row r="1575" spans="1:3">
      <c r="A1575">
        <v>8435</v>
      </c>
      <c r="B1575" t="s">
        <v>521</v>
      </c>
      <c r="C1575">
        <v>0</v>
      </c>
    </row>
    <row r="1576" spans="1:3">
      <c r="A1576">
        <v>8436</v>
      </c>
      <c r="B1576" t="s">
        <v>1831</v>
      </c>
      <c r="C1576">
        <v>118</v>
      </c>
    </row>
    <row r="1577" spans="1:3">
      <c r="A1577">
        <v>8437</v>
      </c>
      <c r="B1577" t="s">
        <v>1832</v>
      </c>
      <c r="C1577">
        <v>145</v>
      </c>
    </row>
    <row r="1578" spans="1:3">
      <c r="A1578">
        <v>8444</v>
      </c>
      <c r="B1578" t="s">
        <v>1891</v>
      </c>
      <c r="C1578">
        <v>76.3</v>
      </c>
    </row>
    <row r="1579" spans="1:3">
      <c r="A1579">
        <v>8446</v>
      </c>
      <c r="B1579" t="s">
        <v>1833</v>
      </c>
      <c r="C1579">
        <v>110.5</v>
      </c>
    </row>
    <row r="1580" spans="1:3">
      <c r="A1580">
        <v>8450</v>
      </c>
      <c r="B1580" t="s">
        <v>522</v>
      </c>
      <c r="C1580">
        <v>81.3</v>
      </c>
    </row>
    <row r="1581" spans="1:3">
      <c r="A1581">
        <v>8905</v>
      </c>
      <c r="B1581" t="s">
        <v>1834</v>
      </c>
      <c r="C1581">
        <v>13.45</v>
      </c>
    </row>
    <row r="1582" spans="1:3">
      <c r="A1582">
        <v>8906</v>
      </c>
      <c r="B1582" t="s">
        <v>1835</v>
      </c>
      <c r="C1582">
        <v>7.08</v>
      </c>
    </row>
    <row r="1583" spans="1:3">
      <c r="A1583">
        <v>8908</v>
      </c>
      <c r="B1583" t="s">
        <v>523</v>
      </c>
      <c r="C1583">
        <v>33.9</v>
      </c>
    </row>
    <row r="1584" spans="1:3">
      <c r="A1584">
        <v>8913</v>
      </c>
      <c r="B1584" t="s">
        <v>524</v>
      </c>
      <c r="C1584">
        <v>15</v>
      </c>
    </row>
    <row r="1585" spans="1:3">
      <c r="A1585">
        <v>8916</v>
      </c>
      <c r="B1585" t="s">
        <v>525</v>
      </c>
      <c r="C1585">
        <v>60.8</v>
      </c>
    </row>
    <row r="1586" spans="1:3">
      <c r="A1586">
        <v>8917</v>
      </c>
      <c r="B1586" t="s">
        <v>526</v>
      </c>
      <c r="C1586">
        <v>0</v>
      </c>
    </row>
    <row r="1587" spans="1:3">
      <c r="A1587">
        <v>8921</v>
      </c>
      <c r="B1587" t="s">
        <v>1836</v>
      </c>
      <c r="C1587">
        <v>0</v>
      </c>
    </row>
    <row r="1588" spans="1:3">
      <c r="A1588">
        <v>8923</v>
      </c>
      <c r="B1588" t="s">
        <v>1837</v>
      </c>
      <c r="C1588">
        <v>0</v>
      </c>
    </row>
    <row r="1589" spans="1:3">
      <c r="A1589">
        <v>8924</v>
      </c>
      <c r="B1589" t="s">
        <v>1838</v>
      </c>
      <c r="C1589">
        <v>17.5</v>
      </c>
    </row>
    <row r="1590" spans="1:3">
      <c r="A1590">
        <v>8927</v>
      </c>
      <c r="B1590" t="s">
        <v>527</v>
      </c>
      <c r="C1590">
        <v>9.8000000000000007</v>
      </c>
    </row>
    <row r="1591" spans="1:3">
      <c r="A1591">
        <v>8928</v>
      </c>
      <c r="B1591" t="s">
        <v>528</v>
      </c>
      <c r="C1591">
        <v>39.450000000000003</v>
      </c>
    </row>
    <row r="1592" spans="1:3">
      <c r="A1592">
        <v>8929</v>
      </c>
      <c r="B1592" t="s">
        <v>529</v>
      </c>
      <c r="C1592">
        <v>22.05</v>
      </c>
    </row>
    <row r="1593" spans="1:3">
      <c r="A1593">
        <v>8930</v>
      </c>
      <c r="B1593" t="s">
        <v>530</v>
      </c>
      <c r="C1593">
        <v>8.99</v>
      </c>
    </row>
    <row r="1594" spans="1:3">
      <c r="A1594">
        <v>8931</v>
      </c>
      <c r="B1594" t="s">
        <v>1840</v>
      </c>
      <c r="C1594">
        <v>21.2</v>
      </c>
    </row>
    <row r="1595" spans="1:3">
      <c r="A1595">
        <v>8932</v>
      </c>
      <c r="B1595" t="s">
        <v>1841</v>
      </c>
      <c r="C1595">
        <v>9.68</v>
      </c>
    </row>
    <row r="1596" spans="1:3">
      <c r="A1596">
        <v>8933</v>
      </c>
      <c r="B1596" t="s">
        <v>1842</v>
      </c>
      <c r="C1596">
        <v>14.85</v>
      </c>
    </row>
    <row r="1597" spans="1:3">
      <c r="A1597">
        <v>8934</v>
      </c>
      <c r="B1597" t="s">
        <v>1843</v>
      </c>
      <c r="C1597">
        <v>0</v>
      </c>
    </row>
    <row r="1598" spans="1:3">
      <c r="A1598">
        <v>8935</v>
      </c>
      <c r="B1598" t="s">
        <v>531</v>
      </c>
      <c r="C1598">
        <v>6.09</v>
      </c>
    </row>
    <row r="1599" spans="1:3">
      <c r="A1599">
        <v>8936</v>
      </c>
      <c r="B1599" t="s">
        <v>1844</v>
      </c>
      <c r="C1599">
        <v>35.9</v>
      </c>
    </row>
    <row r="1600" spans="1:3">
      <c r="A1600">
        <v>8937</v>
      </c>
      <c r="B1600" t="s">
        <v>1845</v>
      </c>
      <c r="C1600">
        <v>12</v>
      </c>
    </row>
    <row r="1601" spans="1:3">
      <c r="A1601">
        <v>8938</v>
      </c>
      <c r="B1601" t="s">
        <v>532</v>
      </c>
      <c r="C1601">
        <v>18.75</v>
      </c>
    </row>
    <row r="1602" spans="1:3">
      <c r="A1602">
        <v>8941</v>
      </c>
      <c r="B1602" t="s">
        <v>533</v>
      </c>
      <c r="C1602">
        <v>84.8</v>
      </c>
    </row>
    <row r="1603" spans="1:3">
      <c r="A1603">
        <v>8942</v>
      </c>
      <c r="B1603" t="s">
        <v>1846</v>
      </c>
      <c r="C1603">
        <v>86.6</v>
      </c>
    </row>
    <row r="1604" spans="1:3">
      <c r="A1604">
        <v>911613</v>
      </c>
      <c r="B1604" t="s">
        <v>1847</v>
      </c>
      <c r="C1604">
        <v>6.24</v>
      </c>
    </row>
    <row r="1605" spans="1:3">
      <c r="A1605">
        <v>9949</v>
      </c>
      <c r="B1605" t="s">
        <v>534</v>
      </c>
      <c r="C1605">
        <v>14.6</v>
      </c>
    </row>
    <row r="1606" spans="1:3">
      <c r="A1606">
        <v>9950</v>
      </c>
      <c r="B1606" t="s">
        <v>1848</v>
      </c>
      <c r="C1606">
        <v>19.350000000000001</v>
      </c>
    </row>
    <row r="1607" spans="1:3">
      <c r="A1607">
        <v>9951</v>
      </c>
      <c r="B1607" t="s">
        <v>1849</v>
      </c>
      <c r="C1607">
        <v>163.5</v>
      </c>
    </row>
    <row r="1608" spans="1:3">
      <c r="A1608">
        <v>9960</v>
      </c>
      <c r="B1608" t="s">
        <v>535</v>
      </c>
      <c r="C1608">
        <v>19</v>
      </c>
    </row>
    <row r="1609" spans="1:3">
      <c r="A1609">
        <v>9962</v>
      </c>
      <c r="B1609" t="s">
        <v>1850</v>
      </c>
      <c r="C1609">
        <v>7.14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zoomScale="80" zoomScaleNormal="8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.625" customWidth="1"/>
    <col min="30" max="30" width="13.875" customWidth="1"/>
  </cols>
  <sheetData>
    <row r="1" spans="1:31" ht="27.95" customHeight="1" thickBot="1">
      <c r="A1" s="356" t="s">
        <v>2841</v>
      </c>
      <c r="B1" s="357" t="s">
        <v>3017</v>
      </c>
      <c r="C1" s="358">
        <v>11</v>
      </c>
      <c r="D1" s="1"/>
      <c r="E1" s="1"/>
      <c r="F1" s="1"/>
      <c r="G1" s="13"/>
      <c r="H1" s="1"/>
      <c r="I1" s="1"/>
      <c r="J1" s="2"/>
      <c r="M1" s="8"/>
      <c r="N1" s="181"/>
      <c r="O1" s="359">
        <v>1</v>
      </c>
      <c r="P1" s="360">
        <v>1</v>
      </c>
      <c r="Q1" s="360">
        <v>1</v>
      </c>
      <c r="R1" s="360">
        <v>1</v>
      </c>
      <c r="S1" s="361">
        <v>1</v>
      </c>
      <c r="T1" s="362" t="str">
        <f>"    合計 " &amp; SUM(O1:S1) &amp; " 分    "</f>
        <v xml:space="preserve">    合計 5 分    </v>
      </c>
      <c r="U1" s="363"/>
      <c r="V1" s="364"/>
      <c r="W1" s="180"/>
      <c r="X1" s="180"/>
      <c r="Y1" s="179"/>
      <c r="Z1" s="8"/>
      <c r="AA1" s="3"/>
      <c r="AB1" s="70"/>
      <c r="AC1" s="70"/>
      <c r="AD1" s="71"/>
    </row>
    <row r="2" spans="1:31" ht="24" customHeight="1">
      <c r="A2" s="118"/>
      <c r="B2" s="207" t="s">
        <v>1879</v>
      </c>
      <c r="C2" s="119"/>
      <c r="D2" s="1"/>
      <c r="E2" s="119"/>
      <c r="F2" s="400" t="s">
        <v>1889</v>
      </c>
      <c r="G2" s="400"/>
      <c r="H2" s="400"/>
      <c r="I2" s="400"/>
      <c r="J2" s="120"/>
      <c r="K2" s="1"/>
      <c r="L2" s="1"/>
      <c r="M2" s="1"/>
      <c r="N2" s="206" t="s">
        <v>0</v>
      </c>
      <c r="O2" s="209" t="s">
        <v>1</v>
      </c>
      <c r="P2" s="210" t="s">
        <v>2</v>
      </c>
      <c r="Q2" s="210" t="s">
        <v>3</v>
      </c>
      <c r="R2" s="210" t="s">
        <v>4</v>
      </c>
      <c r="S2" s="210" t="s">
        <v>5</v>
      </c>
      <c r="T2" s="210" t="s">
        <v>6</v>
      </c>
      <c r="U2" s="210" t="s">
        <v>7</v>
      </c>
      <c r="V2" s="211" t="s">
        <v>8</v>
      </c>
      <c r="W2" s="407" t="s">
        <v>9</v>
      </c>
      <c r="X2" s="407"/>
      <c r="Y2" s="172"/>
      <c r="Z2" s="8"/>
      <c r="AA2" s="3"/>
      <c r="AB2" s="272" t="s">
        <v>2035</v>
      </c>
      <c r="AC2" s="273">
        <v>10415000</v>
      </c>
      <c r="AD2" s="274">
        <v>9897319</v>
      </c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2" t="s">
        <v>220</v>
      </c>
      <c r="O3" s="212">
        <f>VLOOKUP("營業收入淨額",$B$40:$L$500,9,0)</f>
        <v>4802</v>
      </c>
      <c r="P3" s="213">
        <f>VLOOKUP("營業收入淨額",$B$40:$L$500,8,0)</f>
        <v>4671</v>
      </c>
      <c r="Q3" s="213">
        <f>VLOOKUP("營業收入淨額",$B$40:$L$500,7,0)</f>
        <v>6021</v>
      </c>
      <c r="R3" s="213">
        <f>VLOOKUP("營業收入淨額",$B$40:$L$500,6,0)</f>
        <v>6147</v>
      </c>
      <c r="S3" s="213">
        <f>VLOOKUP("營業收入淨額",$B$40:$L$500,5,0)</f>
        <v>6354</v>
      </c>
      <c r="T3" s="213">
        <f>VLOOKUP("營業收入淨額",$B$40:$L$500,4,0)</f>
        <v>6347</v>
      </c>
      <c r="U3" s="213">
        <f>VLOOKUP("營業收入淨額",$B$40:$L$500,3,0)</f>
        <v>8562</v>
      </c>
      <c r="V3" s="214">
        <f>VLOOKUP("營業收入淨額",$B$40:$L$500,2,0)</f>
        <v>10415</v>
      </c>
      <c r="W3" s="172">
        <f>MAX(O3:V3)</f>
        <v>10415</v>
      </c>
      <c r="X3" s="172"/>
      <c r="Y3" s="172"/>
      <c r="Z3" s="8"/>
      <c r="AA3" s="3"/>
      <c r="AB3" s="275" t="s">
        <v>2036</v>
      </c>
      <c r="AC3" s="276">
        <v>-517681</v>
      </c>
      <c r="AD3" s="367" t="s">
        <v>2984</v>
      </c>
    </row>
    <row r="4" spans="1:31">
      <c r="A4" s="4"/>
      <c r="B4" s="186"/>
      <c r="C4" s="5"/>
      <c r="D4" s="8"/>
      <c r="E4" s="5"/>
      <c r="F4" s="395"/>
      <c r="G4" s="395"/>
      <c r="H4" s="395"/>
      <c r="I4" s="395"/>
      <c r="J4" s="6"/>
      <c r="K4" s="8"/>
      <c r="L4" s="8"/>
      <c r="M4" s="8"/>
      <c r="N4" s="182" t="s">
        <v>11</v>
      </c>
      <c r="O4" s="212">
        <f>VLOOKUP("營業成本",$B$40:$L$500,9,0)</f>
        <v>3941</v>
      </c>
      <c r="P4" s="213">
        <f>VLOOKUP("營業成本",$B$40:$L$500,8,0)</f>
        <v>3880</v>
      </c>
      <c r="Q4" s="213">
        <f>VLOOKUP("營業成本",$B$40:$L$500,7,0)</f>
        <v>5032</v>
      </c>
      <c r="R4" s="213">
        <f>VLOOKUP("營業成本",$B$40:$L$500,6,0)</f>
        <v>5222</v>
      </c>
      <c r="S4" s="213">
        <f>VLOOKUP("營業成本",$B$40:$L$500,5,0)</f>
        <v>5403</v>
      </c>
      <c r="T4" s="213">
        <f>VLOOKUP("營業成本",$B$40:$L$500,4,0)</f>
        <v>5483</v>
      </c>
      <c r="U4" s="213">
        <f>VLOOKUP("營業成本",$B$40:$L$500,3,0)</f>
        <v>7429</v>
      </c>
      <c r="V4" s="214">
        <f>VLOOKUP("營業成本",$B$40:$L$500,2,0)</f>
        <v>8862</v>
      </c>
      <c r="W4" s="172"/>
      <c r="X4" s="172"/>
      <c r="Y4" s="172"/>
      <c r="Z4" s="8"/>
      <c r="AA4" s="3"/>
      <c r="AB4" s="275" t="s">
        <v>2037</v>
      </c>
      <c r="AC4" s="277">
        <v>4.2438790206433E-2</v>
      </c>
      <c r="AD4" s="367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2" t="s">
        <v>222</v>
      </c>
      <c r="O5" s="212">
        <f>VLOOKUP("營業利益",$B$40:$L$500,9,0)</f>
        <v>271</v>
      </c>
      <c r="P5" s="213">
        <f>VLOOKUP("營業利益",$B$40:$L$500,8,0)</f>
        <v>233</v>
      </c>
      <c r="Q5" s="213">
        <f>VLOOKUP("營業利益",$B$40:$L$500,7,0)</f>
        <v>326</v>
      </c>
      <c r="R5" s="213">
        <f>VLOOKUP("營業利益",$B$40:$L$500,6,0)</f>
        <v>314</v>
      </c>
      <c r="S5" s="213">
        <f>VLOOKUP("營業利益",$B$40:$L$500,5,0)</f>
        <v>307</v>
      </c>
      <c r="T5" s="213">
        <f>VLOOKUP("營業利益",$B$40:$L$500,4,0)</f>
        <v>187</v>
      </c>
      <c r="U5" s="213">
        <f>VLOOKUP("營業利益",$B$40:$L$500,3,0)</f>
        <v>369</v>
      </c>
      <c r="V5" s="214">
        <f>VLOOKUP("營業利益",$B$40:$L$500,2,0)</f>
        <v>625</v>
      </c>
      <c r="W5" s="172"/>
      <c r="X5" s="172"/>
      <c r="Y5" s="172"/>
      <c r="Z5" s="8"/>
      <c r="AA5" s="3"/>
      <c r="AB5" s="275" t="s">
        <v>2038</v>
      </c>
      <c r="AC5" s="278">
        <v>1.1638733705772799</v>
      </c>
      <c r="AD5" s="367"/>
    </row>
    <row r="6" spans="1:31">
      <c r="A6" s="4"/>
      <c r="B6" s="186"/>
      <c r="C6" s="5"/>
      <c r="D6" s="8"/>
      <c r="E6" s="5"/>
      <c r="F6" s="395"/>
      <c r="G6" s="395"/>
      <c r="H6" s="395"/>
      <c r="I6" s="395"/>
      <c r="J6" s="6"/>
      <c r="K6" s="8"/>
      <c r="L6" s="8"/>
      <c r="M6" s="8"/>
      <c r="N6" s="182" t="s">
        <v>12</v>
      </c>
      <c r="O6" s="212">
        <f>VLOOKUP("營業外收入合計",$B$40:$L$500,9,0)</f>
        <v>13</v>
      </c>
      <c r="P6" s="213">
        <f>VLOOKUP("營業外收入合計",$B$40:$L$500,8,0)</f>
        <v>13</v>
      </c>
      <c r="Q6" s="213">
        <f>VLOOKUP("營業外收入合計",$B$40:$L$500,7,0)</f>
        <v>19</v>
      </c>
      <c r="R6" s="213">
        <f>VLOOKUP("營業外收入合計",$B$40:$L$500,6,0)</f>
        <v>50</v>
      </c>
      <c r="S6" s="213">
        <f>VLOOKUP("營業外收入合計",$B$40:$L$500,5,0)</f>
        <v>58</v>
      </c>
      <c r="T6" s="213">
        <f>VLOOKUP("營業外收入合計",$B$40:$L$500,4,0)</f>
        <v>45</v>
      </c>
      <c r="U6" s="213">
        <f>VLOOKUP("營業外收入合計",$B$40:$L$500,3,0)</f>
        <v>36</v>
      </c>
      <c r="V6" s="214">
        <f>VLOOKUP("營業外收入合計",$B$40:$L$500,2,0)</f>
        <v>16</v>
      </c>
      <c r="W6" s="172"/>
      <c r="X6" s="172"/>
      <c r="Y6" s="172"/>
      <c r="Z6" s="8"/>
      <c r="AA6" s="3"/>
      <c r="AB6" s="279" t="s">
        <v>3015</v>
      </c>
      <c r="AC6" s="276">
        <v>240900000</v>
      </c>
      <c r="AD6" s="367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2" t="s">
        <v>202</v>
      </c>
      <c r="O7" s="212">
        <f>VLOOKUP("稅前淨利",$B$40:$L$500,9,0)</f>
        <v>268</v>
      </c>
      <c r="P7" s="213">
        <f>VLOOKUP("稅前淨利",$B$40:$L$500,8,0)</f>
        <v>221</v>
      </c>
      <c r="Q7" s="213">
        <f>VLOOKUP("稅前淨利",$B$40:$L$500,7,0)</f>
        <v>328</v>
      </c>
      <c r="R7" s="213">
        <f>VLOOKUP("稅前淨利",$B$40:$L$500,6,0)</f>
        <v>289</v>
      </c>
      <c r="S7" s="213">
        <f>VLOOKUP("稅前淨利",$B$40:$L$500,5,0)</f>
        <v>351</v>
      </c>
      <c r="T7" s="213">
        <f>VLOOKUP("稅前淨利",$B$40:$L$500,4,0)</f>
        <v>202</v>
      </c>
      <c r="U7" s="213">
        <f>VLOOKUP("稅前淨利",$B$40:$L$500,3,0)</f>
        <v>404</v>
      </c>
      <c r="V7" s="214">
        <f>VLOOKUP("稅前淨利",$B$40:$L$500,2,0)</f>
        <v>537</v>
      </c>
      <c r="W7" s="172"/>
      <c r="X7" s="172"/>
      <c r="Y7" s="172"/>
      <c r="Z7" s="8"/>
      <c r="AA7" s="3"/>
      <c r="AB7" s="275" t="s">
        <v>2039</v>
      </c>
      <c r="AC7" s="280">
        <v>2.2000000000000002</v>
      </c>
      <c r="AD7" s="367">
        <v>-0.31</v>
      </c>
    </row>
    <row r="8" spans="1:31">
      <c r="A8" s="4"/>
      <c r="B8" s="186"/>
      <c r="C8" s="5"/>
      <c r="D8" s="8"/>
      <c r="E8" s="5"/>
      <c r="F8" s="395"/>
      <c r="G8" s="395"/>
      <c r="H8" s="395"/>
      <c r="I8" s="395"/>
      <c r="J8" s="6"/>
      <c r="K8" s="8"/>
      <c r="L8" s="8"/>
      <c r="M8" s="8"/>
      <c r="N8" s="182" t="s">
        <v>13</v>
      </c>
      <c r="O8" s="212">
        <f>VLOOKUP("本期稅後淨利",$B$40:$L$500,9,0)</f>
        <v>222</v>
      </c>
      <c r="P8" s="213">
        <f>VLOOKUP("本期稅後淨利",$B$40:$L$500,8,0)</f>
        <v>184</v>
      </c>
      <c r="Q8" s="213">
        <f>VLOOKUP("本期稅後淨利",$B$40:$L$500,7,0)</f>
        <v>272</v>
      </c>
      <c r="R8" s="213">
        <f>VLOOKUP("本期稅後淨利",$B$40:$L$500,6,0)</f>
        <v>239</v>
      </c>
      <c r="S8" s="213">
        <f>VLOOKUP("本期稅後淨利",$B$40:$L$500,5,0)</f>
        <v>255</v>
      </c>
      <c r="T8" s="213">
        <f>VLOOKUP("本期稅後淨利",$B$40:$L$500,4,0)</f>
        <v>168</v>
      </c>
      <c r="U8" s="213">
        <f>VLOOKUP("本期稅後淨利",$B$40:$L$500,3,0)</f>
        <v>329</v>
      </c>
      <c r="V8" s="214">
        <f>VLOOKUP("本期稅後淨利",$B$40:$L$500,2,0)</f>
        <v>442</v>
      </c>
      <c r="W8" s="172"/>
      <c r="X8" s="172"/>
      <c r="Y8" s="172"/>
      <c r="Z8" s="8"/>
      <c r="AA8" s="3"/>
      <c r="AB8" s="275" t="s">
        <v>2040</v>
      </c>
      <c r="AC8" s="280">
        <v>2.11</v>
      </c>
      <c r="AD8" s="367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2" t="s">
        <v>14</v>
      </c>
      <c r="O9" s="212">
        <f>VLOOKUP("每股盈餘 (元)",$B$40:$L$500,9,0)</f>
        <v>1.1000000000000001</v>
      </c>
      <c r="P9" s="213">
        <f>VLOOKUP("每股盈餘 (元)",$B$40:$L$500,8,0)</f>
        <v>0.84</v>
      </c>
      <c r="Q9" s="213">
        <f>VLOOKUP("每股盈餘 (元)",$B$40:$L$500,7,0)</f>
        <v>1.22</v>
      </c>
      <c r="R9" s="213">
        <f>VLOOKUP("每股盈餘 (元)",$B$40:$L$500,6,0)</f>
        <v>1.07</v>
      </c>
      <c r="S9" s="213">
        <f>VLOOKUP("每股盈餘 (元)",$B$40:$L$500,5,0)</f>
        <v>1.1299999999999999</v>
      </c>
      <c r="T9" s="213">
        <f>VLOOKUP("每股盈餘 (元)",$B$40:$L$500,4,0)</f>
        <v>0.73</v>
      </c>
      <c r="U9" s="213">
        <f>VLOOKUP("每股盈餘 (元)",$B$40:$L$500,3,0)</f>
        <v>1.43</v>
      </c>
      <c r="V9" s="214">
        <f>VLOOKUP("每股盈餘 (元)",$B$40:$L$500,2,0)</f>
        <v>1.89</v>
      </c>
      <c r="W9" s="172">
        <f>MAX(R9:V9)</f>
        <v>1.89</v>
      </c>
      <c r="X9" s="172"/>
      <c r="Y9" s="172"/>
      <c r="Z9" s="8"/>
      <c r="AA9" s="126"/>
      <c r="AB9" s="275" t="s">
        <v>2041</v>
      </c>
      <c r="AC9" s="280">
        <v>7.63</v>
      </c>
      <c r="AD9" s="368">
        <v>11.17</v>
      </c>
    </row>
    <row r="10" spans="1:31" ht="17.25" thickBot="1">
      <c r="A10" s="4"/>
      <c r="B10" s="186"/>
      <c r="C10" s="5"/>
      <c r="D10" s="8"/>
      <c r="E10" s="5"/>
      <c r="F10" s="395"/>
      <c r="G10" s="395"/>
      <c r="H10" s="395"/>
      <c r="I10" s="395"/>
      <c r="J10" s="6"/>
      <c r="K10" s="8"/>
      <c r="L10" s="8"/>
      <c r="M10" s="8"/>
      <c r="N10" s="182" t="s">
        <v>221</v>
      </c>
      <c r="O10" s="212">
        <f>VLOOKUP(" 應收帳款及票據",$B$40:$L$500,9,0)</f>
        <v>2626</v>
      </c>
      <c r="P10" s="213">
        <f>VLOOKUP(" 應收帳款及票據",$B$40:$L$500,8,0)</f>
        <v>3133</v>
      </c>
      <c r="Q10" s="213">
        <f>VLOOKUP(" 應收帳款及票據",$B$40:$L$500,7,0)</f>
        <v>3481</v>
      </c>
      <c r="R10" s="213">
        <f>VLOOKUP(" 應收帳款及票據",$B$40:$L$500,6,0)</f>
        <v>3836</v>
      </c>
      <c r="S10" s="213">
        <f>VLOOKUP(" 應收帳款及票據",$B$40:$L$500,5,0)</f>
        <v>4412</v>
      </c>
      <c r="T10" s="213">
        <f>VLOOKUP(" 應收帳款及票據",$B$40:$L$500,4,0)</f>
        <v>5090</v>
      </c>
      <c r="U10" s="213">
        <f>VLOOKUP(" 應收帳款及票據",$B$40:$L$500,3,0)</f>
        <v>6755</v>
      </c>
      <c r="V10" s="214">
        <f>VLOOKUP(" 應收帳款及票據",$B$40:$L$500,2,0)</f>
        <v>6920</v>
      </c>
      <c r="W10" s="172"/>
      <c r="X10" s="172"/>
      <c r="Y10" s="172"/>
      <c r="Z10" s="8"/>
      <c r="AA10" s="126"/>
      <c r="AB10" s="281" t="s">
        <v>2042</v>
      </c>
      <c r="AC10" s="282">
        <v>0.74999999999999989</v>
      </c>
      <c r="AD10" s="369">
        <v>0.14893333333333336</v>
      </c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2" t="s">
        <v>15</v>
      </c>
      <c r="O11" s="212">
        <f>VLOOKUP(" 存貨",$B$40:$L$500,9,0)</f>
        <v>2634</v>
      </c>
      <c r="P11" s="213">
        <f>VLOOKUP(" 存貨",$B$40:$L$500,8,0)</f>
        <v>3112</v>
      </c>
      <c r="Q11" s="213">
        <f>VLOOKUP(" 存貨",$B$40:$L$500,7,0)</f>
        <v>3288</v>
      </c>
      <c r="R11" s="213">
        <f>VLOOKUP(" 存貨",$B$40:$L$500,6,0)</f>
        <v>3292</v>
      </c>
      <c r="S11" s="213">
        <f>VLOOKUP(" 存貨",$B$40:$L$500,5,0)</f>
        <v>3629</v>
      </c>
      <c r="T11" s="213">
        <f>VLOOKUP(" 存貨",$B$40:$L$500,4,0)</f>
        <v>4173</v>
      </c>
      <c r="U11" s="213">
        <f>VLOOKUP(" 存貨",$B$40:$L$500,3,0)</f>
        <v>5158</v>
      </c>
      <c r="V11" s="214">
        <f>VLOOKUP(" 存貨",$B$40:$L$500,2,0)</f>
        <v>5575</v>
      </c>
      <c r="W11" s="172"/>
      <c r="X11" s="172"/>
      <c r="Y11" s="172"/>
      <c r="Z11" s="8"/>
      <c r="AA11" s="126"/>
      <c r="AB11" s="266" t="s">
        <v>2043</v>
      </c>
      <c r="AC11" s="267" t="s">
        <v>2044</v>
      </c>
      <c r="AD11" s="268" t="s">
        <v>1978</v>
      </c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2" t="s">
        <v>16</v>
      </c>
      <c r="O12" s="212">
        <f>VLOOKUP(" 應付帳款及票據",$B$40:$L$500,9,0)</f>
        <v>4622</v>
      </c>
      <c r="P12" s="213">
        <f>VLOOKUP(" 應付帳款及票據",$B$40:$L$500,8,0)</f>
        <v>4839</v>
      </c>
      <c r="Q12" s="213">
        <f>VLOOKUP(" 應付帳款及票據",$B$40:$L$500,7,0)</f>
        <v>5319</v>
      </c>
      <c r="R12" s="213">
        <f>VLOOKUP(" 應付帳款及票據",$B$40:$L$500,6,0)</f>
        <v>5951</v>
      </c>
      <c r="S12" s="213">
        <f>VLOOKUP(" 應付帳款及票據",$B$40:$L$500,5,0)</f>
        <v>6573</v>
      </c>
      <c r="T12" s="213">
        <f>VLOOKUP(" 應付帳款及票據",$B$40:$L$500,4,0)</f>
        <v>7021</v>
      </c>
      <c r="U12" s="213">
        <f>VLOOKUP(" 應付帳款及票據",$B$40:$L$500,3,0)</f>
        <v>8710</v>
      </c>
      <c r="V12" s="214">
        <f>VLOOKUP(" 應付帳款及票據",$B$40:$L$500,2,0)</f>
        <v>9995</v>
      </c>
      <c r="W12" s="172"/>
      <c r="X12" s="172"/>
      <c r="Y12" s="172"/>
      <c r="Z12" s="8"/>
      <c r="AA12" s="126"/>
      <c r="AB12" s="269">
        <f>VLOOKUP(5388,PSR!A:I,9,0)</f>
        <v>0.63243100655080309</v>
      </c>
      <c r="AC12" s="270">
        <f>VLOOKUP(5388,RPS!A:F,6,0)</f>
        <v>68.52</v>
      </c>
      <c r="AD12" s="271">
        <f>VLOOKUP(5388,葛林公式!A:L,12,0)</f>
        <v>67</v>
      </c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2" t="s">
        <v>17</v>
      </c>
      <c r="O13" s="212">
        <f>VLOOKUP("負債總額",$B$40:$L$500,9,0)</f>
        <v>8665</v>
      </c>
      <c r="P13" s="213">
        <f>VLOOKUP("負債總額",$B$40:$L$500,8,0)</f>
        <v>8920</v>
      </c>
      <c r="Q13" s="213">
        <f>VLOOKUP("負債總額",$B$40:$L$500,7,0)</f>
        <v>10918</v>
      </c>
      <c r="R13" s="213">
        <f>VLOOKUP("負債總額",$B$40:$L$500,6,0)</f>
        <v>10799</v>
      </c>
      <c r="S13" s="213">
        <f>VLOOKUP("負債總額",$B$40:$L$500,5,0)</f>
        <v>11929</v>
      </c>
      <c r="T13" s="213">
        <f>VLOOKUP("負債總額",$B$40:$L$500,4,0)</f>
        <v>12899</v>
      </c>
      <c r="U13" s="213">
        <f>VLOOKUP("負債總額",$B$40:$L$500,3,0)</f>
        <v>16456</v>
      </c>
      <c r="V13" s="214">
        <f>VLOOKUP("負債總額",$B$40:$L$500,2,0)</f>
        <v>16974</v>
      </c>
      <c r="W13" s="172"/>
      <c r="X13" s="172"/>
      <c r="Y13" s="172"/>
      <c r="Z13" s="8"/>
      <c r="AA13" s="126"/>
      <c r="AB13" s="146"/>
      <c r="AC13" s="147"/>
      <c r="AD13" s="146"/>
    </row>
    <row r="14" spans="1:31" ht="24" customHeight="1">
      <c r="A14" s="40"/>
      <c r="B14" s="137" t="s">
        <v>1886</v>
      </c>
      <c r="C14" s="41"/>
      <c r="D14" s="8"/>
      <c r="E14" s="41"/>
      <c r="F14" s="401" t="s">
        <v>1888</v>
      </c>
      <c r="G14" s="401"/>
      <c r="H14" s="401"/>
      <c r="I14" s="401"/>
      <c r="J14" s="42"/>
      <c r="K14" s="8"/>
      <c r="L14" s="8"/>
      <c r="M14" s="8"/>
      <c r="N14" s="182" t="s">
        <v>18</v>
      </c>
      <c r="O14" s="212">
        <f>VLOOKUP("資產總額",$B$40:$L$500,9,0)</f>
        <v>13393</v>
      </c>
      <c r="P14" s="213">
        <f>VLOOKUP("資產總額",$B$40:$L$500,8,0)</f>
        <v>14385</v>
      </c>
      <c r="Q14" s="213">
        <f>VLOOKUP("資產總額",$B$40:$L$500,7,0)</f>
        <v>16041</v>
      </c>
      <c r="R14" s="213">
        <f>VLOOKUP("資產總額",$B$40:$L$500,6,0)</f>
        <v>16421</v>
      </c>
      <c r="S14" s="213">
        <f>VLOOKUP("資產總額",$B$40:$L$500,5,0)</f>
        <v>17988</v>
      </c>
      <c r="T14" s="213">
        <f>VLOOKUP("資產總額",$B$40:$L$500,4,0)</f>
        <v>19363</v>
      </c>
      <c r="U14" s="213">
        <f>VLOOKUP("資產總額",$B$40:$L$500,3,0)</f>
        <v>22328</v>
      </c>
      <c r="V14" s="214">
        <f>VLOOKUP("資產總額",$B$40:$L$500,2,0)</f>
        <v>23673</v>
      </c>
      <c r="W14" s="172"/>
      <c r="X14" s="172"/>
      <c r="Y14" s="172"/>
      <c r="Z14" s="8"/>
      <c r="AA14" s="126"/>
      <c r="AB14" s="345" t="s">
        <v>2975</v>
      </c>
      <c r="AC14" s="346" t="s">
        <v>2976</v>
      </c>
      <c r="AD14" s="347" t="s">
        <v>3013</v>
      </c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2" t="s">
        <v>19</v>
      </c>
      <c r="O15" s="212">
        <f>VLOOKUP("來自營運之現金流量",$B$40:$L$500,9,0)</f>
        <v>172</v>
      </c>
      <c r="P15" s="213">
        <f>VLOOKUP("來自營運之現金流量",$B$40:$L$500,8,0)</f>
        <v>-393</v>
      </c>
      <c r="Q15" s="213">
        <f>VLOOKUP("來自營運之現金流量",$B$40:$L$500,7,0)</f>
        <v>543</v>
      </c>
      <c r="R15" s="213">
        <f>VLOOKUP("來自營運之現金流量",$B$40:$L$500,6,0)</f>
        <v>526</v>
      </c>
      <c r="S15" s="213">
        <f>VLOOKUP("來自營運之現金流量",$B$40:$L$500,5,0)</f>
        <v>104</v>
      </c>
      <c r="T15" s="213">
        <f>VLOOKUP("來自營運之現金流量",$B$40:$L$500,4,0)</f>
        <v>-442</v>
      </c>
      <c r="U15" s="213">
        <f>VLOOKUP("來自營運之現金流量",$B$40:$L$500,3,0)</f>
        <v>74</v>
      </c>
      <c r="V15" s="214">
        <f>VLOOKUP("來自營運之現金流量",$B$40:$L$500,2,0)</f>
        <v>1568</v>
      </c>
      <c r="W15" s="174">
        <f>AVERAGE(R15:V15)</f>
        <v>366</v>
      </c>
      <c r="X15" s="174">
        <f>AVERAGE(U15:V15)</f>
        <v>821</v>
      </c>
      <c r="Y15" s="172"/>
      <c r="Z15" s="8"/>
      <c r="AA15" s="126"/>
      <c r="AB15" s="348" t="s">
        <v>2985</v>
      </c>
      <c r="AC15" s="349">
        <v>47000000</v>
      </c>
      <c r="AD15" s="365">
        <v>42.41</v>
      </c>
      <c r="AE15" s="352"/>
    </row>
    <row r="16" spans="1:31">
      <c r="A16" s="4"/>
      <c r="B16" s="186"/>
      <c r="C16" s="5"/>
      <c r="D16" s="8"/>
      <c r="E16" s="5"/>
      <c r="F16" s="395"/>
      <c r="G16" s="395"/>
      <c r="H16" s="395"/>
      <c r="I16" s="395"/>
      <c r="J16" s="6"/>
      <c r="K16" s="8"/>
      <c r="L16" s="8"/>
      <c r="M16" s="8"/>
      <c r="N16" s="182" t="s">
        <v>20</v>
      </c>
      <c r="O16" s="212">
        <v>67</v>
      </c>
      <c r="P16" s="213">
        <v>90</v>
      </c>
      <c r="Q16" s="213">
        <v>116</v>
      </c>
      <c r="R16" s="213">
        <v>137</v>
      </c>
      <c r="S16" s="213">
        <v>135</v>
      </c>
      <c r="T16" s="213">
        <v>67</v>
      </c>
      <c r="U16" s="213">
        <v>229</v>
      </c>
      <c r="V16" s="214">
        <v>90</v>
      </c>
      <c r="W16" s="174">
        <f>MAX(O16:V16)</f>
        <v>229</v>
      </c>
      <c r="X16" s="174">
        <f>AVERAGE(U16:V16)</f>
        <v>159.5</v>
      </c>
      <c r="Y16" s="172"/>
      <c r="Z16" s="8"/>
      <c r="AA16" s="126"/>
      <c r="AB16" s="348" t="s">
        <v>2986</v>
      </c>
      <c r="AC16" s="349">
        <v>20200000</v>
      </c>
      <c r="AD16" s="365">
        <v>32.950000000000003</v>
      </c>
      <c r="AE16" s="352"/>
    </row>
    <row r="17" spans="1:3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2" t="s">
        <v>21</v>
      </c>
      <c r="O17" s="212">
        <v>0</v>
      </c>
      <c r="P17" s="213">
        <v>0</v>
      </c>
      <c r="Q17" s="213">
        <v>0</v>
      </c>
      <c r="R17" s="213">
        <v>24</v>
      </c>
      <c r="S17" s="213">
        <v>-24</v>
      </c>
      <c r="T17" s="213">
        <v>0</v>
      </c>
      <c r="U17" s="213">
        <v>0</v>
      </c>
      <c r="V17" s="214">
        <v>0</v>
      </c>
      <c r="W17" s="172"/>
      <c r="X17" s="172"/>
      <c r="Y17" s="172"/>
      <c r="Z17" s="8"/>
      <c r="AA17" s="126"/>
      <c r="AB17" s="348"/>
      <c r="AC17" s="349"/>
      <c r="AD17" s="365"/>
      <c r="AE17" s="353"/>
    </row>
    <row r="18" spans="1:31">
      <c r="A18" s="4"/>
      <c r="B18" s="186"/>
      <c r="C18" s="5"/>
      <c r="D18" s="8"/>
      <c r="E18" s="5"/>
      <c r="F18" s="395"/>
      <c r="G18" s="395"/>
      <c r="H18" s="395"/>
      <c r="I18" s="395"/>
      <c r="J18" s="6"/>
      <c r="K18" s="8"/>
      <c r="L18" s="8"/>
      <c r="M18" s="8"/>
      <c r="N18" s="182" t="s">
        <v>22</v>
      </c>
      <c r="O18" s="212">
        <f>VLOOKUP(" 折舊",$B$40:$L$500,9,0)</f>
        <v>78</v>
      </c>
      <c r="P18" s="213">
        <f>VLOOKUP(" 折舊",$B$40:$L$500,8,0)</f>
        <v>82</v>
      </c>
      <c r="Q18" s="213">
        <f>VLOOKUP(" 折舊",$B$40:$L$500,7,0)</f>
        <v>85</v>
      </c>
      <c r="R18" s="213">
        <f>VLOOKUP(" 折舊",$B$40:$L$500,6,0)</f>
        <v>89</v>
      </c>
      <c r="S18" s="213">
        <f>VLOOKUP(" 折舊",$B$40:$L$500,5,0)</f>
        <v>92</v>
      </c>
      <c r="T18" s="213">
        <f>VLOOKUP(" 折舊",$B$40:$L$500,4,0)</f>
        <v>103</v>
      </c>
      <c r="U18" s="213">
        <f>VLOOKUP(" 折舊",$B$40:$L$500,3,0)</f>
        <v>105</v>
      </c>
      <c r="V18" s="214">
        <f>VLOOKUP(" 折舊",$B$40:$L$500,2,0)</f>
        <v>113</v>
      </c>
      <c r="W18" s="172"/>
      <c r="X18" s="172"/>
      <c r="Y18" s="172"/>
      <c r="Z18" s="8"/>
      <c r="AA18" s="126"/>
      <c r="AB18" s="348"/>
      <c r="AC18" s="349"/>
      <c r="AD18" s="365"/>
      <c r="AE18" s="353"/>
    </row>
    <row r="19" spans="1:31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2" t="s">
        <v>23</v>
      </c>
      <c r="O19" s="215">
        <f>VLOOKUP(" 攤提",$B$40:$L$500,9,0)</f>
        <v>18</v>
      </c>
      <c r="P19" s="216">
        <f>VLOOKUP(" 攤提",$B$40:$L$500,8,0)</f>
        <v>15</v>
      </c>
      <c r="Q19" s="216">
        <f>VLOOKUP(" 攤提",$B$40:$L$500,7,0)</f>
        <v>15</v>
      </c>
      <c r="R19" s="216">
        <f>VLOOKUP(" 攤提",$B$40:$L$500,6,0)</f>
        <v>14</v>
      </c>
      <c r="S19" s="216">
        <f>VLOOKUP(" 攤提",$B$40:$L$500,5,0)</f>
        <v>14</v>
      </c>
      <c r="T19" s="216">
        <f>VLOOKUP(" 攤提",$B$40:$L$500,4,0)</f>
        <v>14</v>
      </c>
      <c r="U19" s="216">
        <f>VLOOKUP(" 攤提",$B$40:$L$500,3,0)</f>
        <v>12</v>
      </c>
      <c r="V19" s="217">
        <f>VLOOKUP(" 攤提",$B$40:$L$500,2,0)</f>
        <v>15</v>
      </c>
      <c r="W19" s="172"/>
      <c r="X19" s="172"/>
      <c r="Y19" s="172"/>
      <c r="Z19" s="8"/>
      <c r="AA19" s="126"/>
      <c r="AB19" s="350" t="s">
        <v>3014</v>
      </c>
      <c r="AC19" s="351">
        <f>SUM(AC15:AC18)</f>
        <v>67200000</v>
      </c>
      <c r="AD19" s="366">
        <v>7.145202437115061E-3</v>
      </c>
      <c r="AE19" s="353"/>
    </row>
    <row r="20" spans="1:31">
      <c r="A20" s="4"/>
      <c r="B20" s="186"/>
      <c r="C20" s="5"/>
      <c r="D20" s="8"/>
      <c r="E20" s="5"/>
      <c r="F20" s="395"/>
      <c r="G20" s="395"/>
      <c r="H20" s="395"/>
      <c r="I20" s="395"/>
      <c r="J20" s="6"/>
      <c r="K20" s="8"/>
      <c r="L20" s="8"/>
      <c r="M20" s="8"/>
      <c r="N20" s="182" t="s">
        <v>24</v>
      </c>
      <c r="O20" s="218">
        <f>VLOOKUP("股東權益總額",$B$40:$L$500,9,0)</f>
        <v>4728</v>
      </c>
      <c r="P20" s="219">
        <f>VLOOKUP("股東權益總額",$B$40:$L$500,8,0)</f>
        <v>5465</v>
      </c>
      <c r="Q20" s="219">
        <f>VLOOKUP("股東權益總額",$B$40:$L$500,7,0)</f>
        <v>5123</v>
      </c>
      <c r="R20" s="219">
        <f>VLOOKUP("股東權益總額",$B$40:$L$500,6,0)</f>
        <v>5623</v>
      </c>
      <c r="S20" s="219">
        <f>VLOOKUP("股東權益總額",$B$40:$L$500,5,0)</f>
        <v>6059</v>
      </c>
      <c r="T20" s="219">
        <f>VLOOKUP("股東權益總額",$B$40:$L$500,4,0)</f>
        <v>6464</v>
      </c>
      <c r="U20" s="219">
        <f>VLOOKUP("股東權益總額",$B$40:$L$500,3,0)</f>
        <v>5872</v>
      </c>
      <c r="V20" s="220">
        <f>VLOOKUP("股東權益總額",$B$40:$L$500,2,0)</f>
        <v>6699</v>
      </c>
      <c r="W20" s="172"/>
      <c r="X20" s="172"/>
      <c r="Y20" s="172"/>
      <c r="Z20" s="8"/>
      <c r="AA20" s="126"/>
      <c r="AB20" s="7"/>
      <c r="AC20" s="8"/>
      <c r="AD20" s="9"/>
    </row>
    <row r="21" spans="1:31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3" t="s">
        <v>195</v>
      </c>
      <c r="O21" s="221">
        <f>VLOOKUP(" 普通股股本",$B$40:$L$500,9,0)</f>
        <v>2052</v>
      </c>
      <c r="P21" s="222">
        <f>VLOOKUP(" 普通股股本",$B$40:$L$500,8,0)</f>
        <v>2177</v>
      </c>
      <c r="Q21" s="222">
        <f>VLOOKUP(" 普通股股本",$B$40:$L$500,7,0)</f>
        <v>2258</v>
      </c>
      <c r="R21" s="222">
        <f>VLOOKUP(" 普通股股本",$B$40:$L$500,6,0)</f>
        <v>2260</v>
      </c>
      <c r="S21" s="222">
        <f>VLOOKUP(" 普通股股本",$B$40:$L$500,5,0)</f>
        <v>2292</v>
      </c>
      <c r="T21" s="222">
        <f>VLOOKUP(" 普通股股本",$B$40:$L$500,4,0)</f>
        <v>2301</v>
      </c>
      <c r="U21" s="222">
        <f>VLOOKUP(" 普通股股本",$B$40:$L$500,3,0)</f>
        <v>2310</v>
      </c>
      <c r="V21" s="223">
        <f>VLOOKUP(" 普通股股本",$B$40:$L$500,2,0)</f>
        <v>2409</v>
      </c>
      <c r="W21" s="173"/>
      <c r="X21" s="173"/>
      <c r="Y21" s="173"/>
      <c r="Z21" s="8"/>
      <c r="AA21" s="126"/>
      <c r="AB21" s="7"/>
      <c r="AC21" s="8"/>
      <c r="AD21" s="9"/>
    </row>
    <row r="22" spans="1:31">
      <c r="A22" s="4"/>
      <c r="B22" s="186"/>
      <c r="C22" s="5"/>
      <c r="D22" s="8"/>
      <c r="E22" s="5"/>
      <c r="F22" s="395"/>
      <c r="G22" s="395"/>
      <c r="H22" s="395"/>
      <c r="I22" s="395"/>
      <c r="J22" s="6"/>
      <c r="K22" s="8"/>
      <c r="L22" s="8"/>
      <c r="M22" s="8"/>
      <c r="N22" s="182" t="s">
        <v>25</v>
      </c>
      <c r="O22" s="224">
        <f t="shared" ref="O22:V22" si="0">IF(ISNUMBER((O3-O4)/O3),(O3-O4)/O3,0)</f>
        <v>0.17930029154518951</v>
      </c>
      <c r="P22" s="225">
        <f t="shared" si="0"/>
        <v>0.16934275315778205</v>
      </c>
      <c r="Q22" s="225">
        <f t="shared" si="0"/>
        <v>0.16425842883241987</v>
      </c>
      <c r="R22" s="225">
        <f t="shared" si="0"/>
        <v>0.15047990889864976</v>
      </c>
      <c r="S22" s="225">
        <f t="shared" si="0"/>
        <v>0.14966949952785646</v>
      </c>
      <c r="T22" s="225">
        <f t="shared" si="0"/>
        <v>0.13612730423822278</v>
      </c>
      <c r="U22" s="225">
        <f t="shared" si="0"/>
        <v>0.13232889511796309</v>
      </c>
      <c r="V22" s="226">
        <f t="shared" si="0"/>
        <v>0.14911185789726356</v>
      </c>
      <c r="W22" s="408">
        <f>MIN(O22:V23)</f>
        <v>2.6469198046321096E-2</v>
      </c>
      <c r="X22" s="408">
        <f>MAX(O22:V23)</f>
        <v>0.17930029154518951</v>
      </c>
      <c r="Y22" s="172"/>
      <c r="Z22" s="8"/>
      <c r="AA22" s="126"/>
      <c r="AB22" s="7"/>
      <c r="AC22" s="8"/>
      <c r="AD22" s="9"/>
    </row>
    <row r="23" spans="1:31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2" t="s">
        <v>1933</v>
      </c>
      <c r="O23" s="224">
        <f>O8/O3</f>
        <v>4.6230737192836317E-2</v>
      </c>
      <c r="P23" s="225">
        <f t="shared" ref="P23:V23" si="1">P8/P3</f>
        <v>3.9391993149218582E-2</v>
      </c>
      <c r="Q23" s="225">
        <f t="shared" si="1"/>
        <v>4.5175220063112441E-2</v>
      </c>
      <c r="R23" s="225">
        <f t="shared" si="1"/>
        <v>3.8880754839759231E-2</v>
      </c>
      <c r="S23" s="225">
        <f t="shared" si="1"/>
        <v>4.0132200188857416E-2</v>
      </c>
      <c r="T23" s="225">
        <f t="shared" si="1"/>
        <v>2.6469198046321096E-2</v>
      </c>
      <c r="U23" s="225">
        <f t="shared" si="1"/>
        <v>3.8425601494977805E-2</v>
      </c>
      <c r="V23" s="226">
        <f t="shared" si="1"/>
        <v>4.2438790206433027E-2</v>
      </c>
      <c r="W23" s="408"/>
      <c r="X23" s="408"/>
      <c r="Y23" s="172"/>
      <c r="Z23" s="8"/>
      <c r="AA23" s="126"/>
      <c r="AB23" s="7"/>
      <c r="AC23" s="8"/>
      <c r="AD23" s="9"/>
    </row>
    <row r="24" spans="1:31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2" t="s">
        <v>26</v>
      </c>
      <c r="O24" s="224">
        <f t="shared" ref="O24:V24" si="2">O13/O14</f>
        <v>0.64697976554916747</v>
      </c>
      <c r="P24" s="225">
        <f t="shared" si="2"/>
        <v>0.62009037191518945</v>
      </c>
      <c r="Q24" s="225">
        <f t="shared" si="2"/>
        <v>0.68063088336138644</v>
      </c>
      <c r="R24" s="225">
        <f t="shared" si="2"/>
        <v>0.65763351805614767</v>
      </c>
      <c r="S24" s="225">
        <f t="shared" si="2"/>
        <v>0.66316433177674006</v>
      </c>
      <c r="T24" s="225">
        <f t="shared" si="2"/>
        <v>0.6661674327325311</v>
      </c>
      <c r="U24" s="225">
        <f t="shared" si="2"/>
        <v>0.73701182371909713</v>
      </c>
      <c r="V24" s="226">
        <f t="shared" si="2"/>
        <v>0.71701938917754404</v>
      </c>
      <c r="W24" s="175">
        <f>MIN(O24:V24)</f>
        <v>0.62009037191518945</v>
      </c>
      <c r="X24" s="175">
        <f>MAX(O24:V24)</f>
        <v>0.73701182371909713</v>
      </c>
      <c r="Y24" s="172"/>
      <c r="Z24" s="8"/>
      <c r="AA24" s="126"/>
      <c r="AB24" s="7"/>
      <c r="AC24" s="8"/>
      <c r="AD24" s="9"/>
    </row>
    <row r="25" spans="1:31" ht="5.0999999999999996" customHeight="1">
      <c r="A25" s="404"/>
      <c r="B25" s="405"/>
      <c r="C25" s="405"/>
      <c r="D25" s="405"/>
      <c r="E25" s="405"/>
      <c r="F25" s="405"/>
      <c r="G25" s="405"/>
      <c r="H25" s="405"/>
      <c r="I25" s="405"/>
      <c r="J25" s="406"/>
      <c r="K25" s="8"/>
      <c r="L25" s="8"/>
      <c r="M25" s="8"/>
      <c r="N25" s="182" t="s">
        <v>27</v>
      </c>
      <c r="O25" s="227">
        <f>P25</f>
        <v>111.25209407216495</v>
      </c>
      <c r="P25" s="228">
        <f t="shared" ref="P25:V25" si="3">IF(ISNUMBER(365/(P4*4/((O12+P12)/2))),365/(P4*4/((O12+P12)/2)),0)</f>
        <v>111.25209407216495</v>
      </c>
      <c r="Q25" s="228">
        <f t="shared" si="3"/>
        <v>92.10229531001589</v>
      </c>
      <c r="R25" s="228">
        <f t="shared" si="3"/>
        <v>98.466823056300271</v>
      </c>
      <c r="S25" s="228">
        <f t="shared" si="3"/>
        <v>105.75744956505646</v>
      </c>
      <c r="T25" s="228">
        <f t="shared" si="3"/>
        <v>113.11804668976838</v>
      </c>
      <c r="U25" s="228">
        <f t="shared" si="3"/>
        <v>96.611505586216182</v>
      </c>
      <c r="V25" s="229">
        <f t="shared" si="3"/>
        <v>96.300567027758973</v>
      </c>
      <c r="W25" s="176">
        <f>MIN(O25:V27)</f>
        <v>50.118543431323701</v>
      </c>
      <c r="X25" s="177">
        <f>MAX(O25:V27)</f>
        <v>113.11804668976838</v>
      </c>
      <c r="Y25" s="172"/>
      <c r="Z25" s="8"/>
      <c r="AA25" s="126"/>
      <c r="AB25" s="7"/>
      <c r="AC25" s="8"/>
      <c r="AD25" s="9"/>
    </row>
    <row r="26" spans="1:31" ht="24" customHeight="1">
      <c r="A26" s="121"/>
      <c r="B26" s="137" t="s">
        <v>1887</v>
      </c>
      <c r="C26" s="122"/>
      <c r="D26" s="205"/>
      <c r="E26" s="122"/>
      <c r="F26" s="401" t="s">
        <v>1880</v>
      </c>
      <c r="G26" s="401"/>
      <c r="H26" s="401"/>
      <c r="I26" s="401"/>
      <c r="J26" s="123"/>
      <c r="K26" s="8"/>
      <c r="L26" s="8"/>
      <c r="M26" s="8"/>
      <c r="N26" s="182" t="s">
        <v>28</v>
      </c>
      <c r="O26" s="230">
        <f>P26</f>
        <v>56.252274673517448</v>
      </c>
      <c r="P26" s="231">
        <f t="shared" ref="P26:V27" si="4">IF(ISNUMBER(365/(P3*4/((O10+P10)/2))),365/(P3*4/((O10+P10)/2)),0)</f>
        <v>56.252274673517448</v>
      </c>
      <c r="Q26" s="231">
        <f t="shared" si="4"/>
        <v>50.118543431323701</v>
      </c>
      <c r="R26" s="231">
        <f t="shared" si="4"/>
        <v>54.309114202049784</v>
      </c>
      <c r="S26" s="231">
        <f t="shared" si="4"/>
        <v>59.224897702234813</v>
      </c>
      <c r="T26" s="231">
        <f t="shared" si="4"/>
        <v>68.30451394359541</v>
      </c>
      <c r="U26" s="231">
        <f t="shared" si="4"/>
        <v>63.119379233823871</v>
      </c>
      <c r="V26" s="232">
        <f t="shared" si="4"/>
        <v>59.906084973595775</v>
      </c>
      <c r="W26" s="176"/>
      <c r="X26" s="177"/>
      <c r="Y26" s="172"/>
      <c r="Z26" s="8"/>
      <c r="AA26" s="126"/>
      <c r="AB26" s="7"/>
      <c r="AC26" s="8"/>
      <c r="AD26" s="9"/>
    </row>
    <row r="27" spans="1:31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2" t="s">
        <v>29</v>
      </c>
      <c r="O27" s="227">
        <f>P27</f>
        <v>67.567332474226802</v>
      </c>
      <c r="P27" s="228">
        <f t="shared" si="4"/>
        <v>67.567332474226802</v>
      </c>
      <c r="Q27" s="228">
        <f t="shared" si="4"/>
        <v>58.028616852146264</v>
      </c>
      <c r="R27" s="228">
        <f t="shared" si="4"/>
        <v>57.489946380697056</v>
      </c>
      <c r="S27" s="228">
        <f t="shared" si="4"/>
        <v>58.443573014991671</v>
      </c>
      <c r="T27" s="228">
        <f t="shared" si="4"/>
        <v>64.921803757067295</v>
      </c>
      <c r="U27" s="228">
        <f t="shared" si="4"/>
        <v>57.306080899178895</v>
      </c>
      <c r="V27" s="229">
        <f t="shared" si="4"/>
        <v>55.257630895960276</v>
      </c>
      <c r="W27" s="176"/>
      <c r="X27" s="177"/>
      <c r="Y27" s="172"/>
      <c r="Z27" s="8"/>
      <c r="AA27" s="126"/>
      <c r="AB27" s="7"/>
      <c r="AC27" s="8"/>
      <c r="AD27" s="9"/>
    </row>
    <row r="28" spans="1:31">
      <c r="A28" s="4"/>
      <c r="B28" s="186"/>
      <c r="C28" s="5"/>
      <c r="D28" s="8"/>
      <c r="E28" s="5"/>
      <c r="F28" s="395"/>
      <c r="G28" s="395"/>
      <c r="H28" s="395"/>
      <c r="I28" s="395"/>
      <c r="J28" s="6"/>
      <c r="K28" s="8"/>
      <c r="L28" s="8"/>
      <c r="M28" s="8"/>
      <c r="N28" s="182" t="s">
        <v>30</v>
      </c>
      <c r="O28" s="233">
        <f>O26+O27</f>
        <v>123.81960714774425</v>
      </c>
      <c r="P28" s="234">
        <f t="shared" ref="P28:V28" si="5">P26+P27</f>
        <v>123.81960714774425</v>
      </c>
      <c r="Q28" s="234">
        <f t="shared" si="5"/>
        <v>108.14716028346996</v>
      </c>
      <c r="R28" s="234">
        <f t="shared" si="5"/>
        <v>111.79906058274685</v>
      </c>
      <c r="S28" s="234">
        <f t="shared" si="5"/>
        <v>117.66847071722648</v>
      </c>
      <c r="T28" s="234">
        <f t="shared" si="5"/>
        <v>133.22631770066272</v>
      </c>
      <c r="U28" s="234">
        <f t="shared" si="5"/>
        <v>120.42546013300276</v>
      </c>
      <c r="V28" s="235">
        <f t="shared" si="5"/>
        <v>115.16371586955606</v>
      </c>
      <c r="W28" s="178">
        <f>MIN(O28:V28)</f>
        <v>108.14716028346996</v>
      </c>
      <c r="X28" s="175"/>
      <c r="Y28" s="172"/>
      <c r="Z28" s="8"/>
      <c r="AA28" s="126"/>
      <c r="AB28" s="7"/>
      <c r="AC28" s="8"/>
      <c r="AD28" s="9"/>
    </row>
    <row r="29" spans="1:31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2" t="s">
        <v>31</v>
      </c>
      <c r="O29" s="212">
        <f>O18+O19</f>
        <v>96</v>
      </c>
      <c r="P29" s="213">
        <f t="shared" ref="P29:V29" si="6">P18+P19</f>
        <v>97</v>
      </c>
      <c r="Q29" s="213">
        <f t="shared" si="6"/>
        <v>100</v>
      </c>
      <c r="R29" s="213">
        <f t="shared" si="6"/>
        <v>103</v>
      </c>
      <c r="S29" s="213">
        <f t="shared" si="6"/>
        <v>106</v>
      </c>
      <c r="T29" s="213">
        <f t="shared" si="6"/>
        <v>117</v>
      </c>
      <c r="U29" s="213">
        <f t="shared" si="6"/>
        <v>117</v>
      </c>
      <c r="V29" s="214">
        <f t="shared" si="6"/>
        <v>128</v>
      </c>
      <c r="W29" s="172"/>
      <c r="X29" s="172"/>
      <c r="Y29" s="172"/>
      <c r="Z29" s="8"/>
      <c r="AA29" s="126"/>
      <c r="AB29" s="7"/>
      <c r="AC29" s="8"/>
      <c r="AD29" s="9"/>
    </row>
    <row r="30" spans="1:31">
      <c r="A30" s="4"/>
      <c r="B30" s="186"/>
      <c r="C30" s="5"/>
      <c r="D30" s="8"/>
      <c r="E30" s="5"/>
      <c r="F30" s="395"/>
      <c r="G30" s="395"/>
      <c r="H30" s="395"/>
      <c r="I30" s="395"/>
      <c r="J30" s="6"/>
      <c r="K30" s="8"/>
      <c r="L30" s="8"/>
      <c r="M30" s="8"/>
      <c r="N30" s="182" t="s">
        <v>32</v>
      </c>
      <c r="O30" s="224">
        <f>P30</f>
        <v>2.5188262788886005E-2</v>
      </c>
      <c r="P30" s="225">
        <f t="shared" ref="P30:V30" si="7">P29/(IF(P3-O3&gt;0,P3,O4)-P16)</f>
        <v>2.5188262788886005E-2</v>
      </c>
      <c r="Q30" s="225">
        <f t="shared" si="7"/>
        <v>1.6934801016088061E-2</v>
      </c>
      <c r="R30" s="225">
        <f t="shared" si="7"/>
        <v>1.7138103161397671E-2</v>
      </c>
      <c r="S30" s="225">
        <f t="shared" si="7"/>
        <v>1.7044540922977972E-2</v>
      </c>
      <c r="T30" s="225">
        <f t="shared" si="7"/>
        <v>2.1926536731634184E-2</v>
      </c>
      <c r="U30" s="225">
        <f t="shared" si="7"/>
        <v>1.4040561622464899E-2</v>
      </c>
      <c r="V30" s="226">
        <f t="shared" si="7"/>
        <v>1.2397094430992735E-2</v>
      </c>
      <c r="W30" s="172"/>
      <c r="X30" s="172"/>
      <c r="Y30" s="172"/>
      <c r="Z30" s="8"/>
      <c r="AA30" s="126"/>
      <c r="AB30" s="7"/>
      <c r="AC30" s="8"/>
      <c r="AD30" s="9"/>
    </row>
    <row r="31" spans="1:31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3" t="s">
        <v>223</v>
      </c>
      <c r="O31" s="236">
        <f t="shared" ref="O31:V31" si="8">O29/O4</f>
        <v>2.4359299670134484E-2</v>
      </c>
      <c r="P31" s="237">
        <f t="shared" si="8"/>
        <v>2.5000000000000001E-2</v>
      </c>
      <c r="Q31" s="237">
        <f t="shared" si="8"/>
        <v>1.987281399046105E-2</v>
      </c>
      <c r="R31" s="237">
        <f t="shared" si="8"/>
        <v>1.9724243584833396E-2</v>
      </c>
      <c r="S31" s="237">
        <f>S29/S4</f>
        <v>1.9618730334999075E-2</v>
      </c>
      <c r="T31" s="237">
        <f t="shared" si="8"/>
        <v>2.1338683202626298E-2</v>
      </c>
      <c r="U31" s="237">
        <f t="shared" si="8"/>
        <v>1.574909139857316E-2</v>
      </c>
      <c r="V31" s="238">
        <f t="shared" si="8"/>
        <v>1.4443692168810652E-2</v>
      </c>
      <c r="W31" s="403">
        <f>AVERAGE(O32:V32)</f>
        <v>0.96808395771408018</v>
      </c>
      <c r="X31" s="403"/>
      <c r="Y31" s="172"/>
      <c r="Z31" s="8"/>
      <c r="AA31" s="126"/>
      <c r="AB31" s="7"/>
      <c r="AC31" s="8"/>
      <c r="AD31" s="9"/>
    </row>
    <row r="32" spans="1:31">
      <c r="A32" s="4"/>
      <c r="B32" s="186"/>
      <c r="C32" s="5"/>
      <c r="D32" s="8"/>
      <c r="E32" s="5"/>
      <c r="F32" s="395"/>
      <c r="G32" s="395"/>
      <c r="H32" s="395"/>
      <c r="I32" s="395"/>
      <c r="J32" s="6"/>
      <c r="K32" s="8"/>
      <c r="L32" s="8"/>
      <c r="M32" s="8"/>
      <c r="N32" s="402" t="s">
        <v>33</v>
      </c>
      <c r="O32" s="239">
        <f t="shared" ref="O32:V32" si="9">IF(O8&gt;0,IF(O15&gt;O8,IF(ISNUMBER(O15/O8),O15/O8,0),0),0)</f>
        <v>0</v>
      </c>
      <c r="P32" s="240">
        <f t="shared" si="9"/>
        <v>0</v>
      </c>
      <c r="Q32" s="240">
        <f t="shared" si="9"/>
        <v>1.9963235294117647</v>
      </c>
      <c r="R32" s="240">
        <f t="shared" si="9"/>
        <v>2.2008368200836821</v>
      </c>
      <c r="S32" s="240">
        <f t="shared" si="9"/>
        <v>0</v>
      </c>
      <c r="T32" s="240">
        <f t="shared" si="9"/>
        <v>0</v>
      </c>
      <c r="U32" s="240">
        <f t="shared" si="9"/>
        <v>0</v>
      </c>
      <c r="V32" s="241">
        <f t="shared" si="9"/>
        <v>3.5475113122171944</v>
      </c>
      <c r="W32" s="403"/>
      <c r="X32" s="403"/>
      <c r="Y32" s="172"/>
      <c r="Z32" s="8"/>
      <c r="AA32" s="126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402"/>
      <c r="O33" s="239">
        <f>$W$31</f>
        <v>0.96808395771408018</v>
      </c>
      <c r="P33" s="240">
        <f t="shared" ref="P33:V33" si="10">$W$31</f>
        <v>0.96808395771408018</v>
      </c>
      <c r="Q33" s="240">
        <f t="shared" si="10"/>
        <v>0.96808395771408018</v>
      </c>
      <c r="R33" s="240">
        <f t="shared" si="10"/>
        <v>0.96808395771408018</v>
      </c>
      <c r="S33" s="240">
        <f t="shared" si="10"/>
        <v>0.96808395771408018</v>
      </c>
      <c r="T33" s="240">
        <f t="shared" si="10"/>
        <v>0.96808395771408018</v>
      </c>
      <c r="U33" s="240">
        <f t="shared" si="10"/>
        <v>0.96808395771408018</v>
      </c>
      <c r="V33" s="241">
        <f t="shared" si="10"/>
        <v>0.96808395771408018</v>
      </c>
      <c r="W33" s="175"/>
      <c r="X33" s="175"/>
      <c r="Y33" s="172"/>
      <c r="Z33" s="8"/>
      <c r="AA33" s="126"/>
      <c r="AB33" s="7"/>
      <c r="AC33" s="8"/>
      <c r="AD33" s="9"/>
    </row>
    <row r="34" spans="1:31">
      <c r="A34" s="4"/>
      <c r="B34" s="186"/>
      <c r="C34" s="5"/>
      <c r="D34" s="8"/>
      <c r="E34" s="5"/>
      <c r="F34" s="395"/>
      <c r="G34" s="395"/>
      <c r="H34" s="395"/>
      <c r="I34" s="395"/>
      <c r="J34" s="6"/>
      <c r="K34" s="8"/>
      <c r="L34" s="8"/>
      <c r="M34" s="8"/>
      <c r="N34" s="183" t="s">
        <v>34</v>
      </c>
      <c r="O34" s="242">
        <f t="shared" ref="O34:V34" si="11">IF(O6&gt;0,IF((O7-O6)&gt;0,O5,0),MAX(O5,O7))</f>
        <v>271</v>
      </c>
      <c r="P34" s="243">
        <f t="shared" si="11"/>
        <v>233</v>
      </c>
      <c r="Q34" s="243">
        <f t="shared" si="11"/>
        <v>326</v>
      </c>
      <c r="R34" s="243">
        <f t="shared" si="11"/>
        <v>314</v>
      </c>
      <c r="S34" s="243">
        <f t="shared" si="11"/>
        <v>307</v>
      </c>
      <c r="T34" s="243">
        <f t="shared" si="11"/>
        <v>187</v>
      </c>
      <c r="U34" s="243">
        <f t="shared" si="11"/>
        <v>369</v>
      </c>
      <c r="V34" s="244">
        <f t="shared" si="11"/>
        <v>625</v>
      </c>
      <c r="W34" s="175"/>
      <c r="X34" s="175"/>
      <c r="Y34" s="172"/>
      <c r="Z34" s="8"/>
      <c r="AA34" s="126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3" t="s">
        <v>35</v>
      </c>
      <c r="O35" s="224">
        <f t="shared" ref="O35:U35" si="12">O34/O7</f>
        <v>1.0111940298507462</v>
      </c>
      <c r="P35" s="225">
        <f t="shared" si="12"/>
        <v>1.0542986425339367</v>
      </c>
      <c r="Q35" s="225">
        <f t="shared" si="12"/>
        <v>0.99390243902439024</v>
      </c>
      <c r="R35" s="225">
        <f t="shared" si="12"/>
        <v>1.0865051903114187</v>
      </c>
      <c r="S35" s="225">
        <f t="shared" si="12"/>
        <v>0.87464387464387461</v>
      </c>
      <c r="T35" s="225">
        <f t="shared" si="12"/>
        <v>0.92574257425742579</v>
      </c>
      <c r="U35" s="225">
        <f t="shared" si="12"/>
        <v>0.9133663366336634</v>
      </c>
      <c r="V35" s="226">
        <f>IF(ISNUMBER(V6),V34/V7,1)</f>
        <v>1.1638733705772812</v>
      </c>
      <c r="W35" s="172"/>
      <c r="X35" s="172"/>
      <c r="Y35" s="172"/>
      <c r="Z35" s="8"/>
      <c r="AA35" s="126"/>
      <c r="AB35" s="7"/>
      <c r="AC35" s="8"/>
      <c r="AD35" s="9"/>
    </row>
    <row r="36" spans="1:31" ht="17.25" thickBot="1">
      <c r="A36" s="10"/>
      <c r="B36" s="11"/>
      <c r="C36" s="11"/>
      <c r="D36" s="113"/>
      <c r="E36" s="11"/>
      <c r="F36" s="11"/>
      <c r="G36" s="11"/>
      <c r="H36" s="11"/>
      <c r="I36" s="11"/>
      <c r="J36" s="12"/>
      <c r="K36" s="113"/>
      <c r="L36" s="113"/>
      <c r="M36" s="113"/>
      <c r="N36" s="208" t="s">
        <v>36</v>
      </c>
      <c r="O36" s="245"/>
      <c r="P36" s="246">
        <f>Q36</f>
        <v>9.2579433560044666E-2</v>
      </c>
      <c r="Q36" s="246">
        <f>(Q8+P8)*2/(O20+Q20)</f>
        <v>9.2579433560044666E-2</v>
      </c>
      <c r="R36" s="246">
        <f>((R8+Q8+P8)/3)*4/(O20+R20)</f>
        <v>8.9524361575371136E-2</v>
      </c>
      <c r="S36" s="246">
        <f>(S8+R8+Q8+P8)/(O20+S20)</f>
        <v>8.8068971910633176E-2</v>
      </c>
      <c r="T36" s="246">
        <f>(T8+S8+R8+Q8)/(P20+T20)</f>
        <v>7.8296588146533661E-2</v>
      </c>
      <c r="U36" s="246">
        <f>(U8+T8+S8+R8)/(Q20+U20)</f>
        <v>9.0131878126421094E-2</v>
      </c>
      <c r="V36" s="247">
        <f>(V8+U8+T8+S8)/(R20+V20)</f>
        <v>9.6899853919818216E-2</v>
      </c>
      <c r="W36" s="173"/>
      <c r="X36" s="173"/>
      <c r="Y36" s="173"/>
      <c r="Z36" s="8"/>
      <c r="AA36" s="126"/>
      <c r="AB36" s="112"/>
      <c r="AC36" s="113"/>
      <c r="AD36" s="114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1" t="s">
        <v>46</v>
      </c>
      <c r="O37" s="124">
        <f>O15-O16</f>
        <v>105</v>
      </c>
      <c r="P37" s="124">
        <f>P15-P16</f>
        <v>-483</v>
      </c>
      <c r="Q37" s="124">
        <f t="shared" ref="Q37:V37" si="13">Q15-Q16</f>
        <v>427</v>
      </c>
      <c r="R37" s="124">
        <f t="shared" si="13"/>
        <v>389</v>
      </c>
      <c r="S37" s="124">
        <f t="shared" si="13"/>
        <v>-31</v>
      </c>
      <c r="T37" s="124">
        <f t="shared" si="13"/>
        <v>-509</v>
      </c>
      <c r="U37" s="124">
        <f t="shared" si="13"/>
        <v>-155</v>
      </c>
      <c r="V37" s="124">
        <f t="shared" si="13"/>
        <v>1478</v>
      </c>
      <c r="W37" s="25"/>
      <c r="X37" s="25"/>
      <c r="Y37" s="25"/>
      <c r="Z37" s="8"/>
      <c r="AA37" s="126"/>
      <c r="AB37" s="8"/>
      <c r="AC37" s="8"/>
      <c r="AD37" s="8"/>
      <c r="AE37" s="8"/>
    </row>
    <row r="38" spans="1:31" s="3" customFormat="1" ht="17.25" thickBot="1">
      <c r="B38" s="3" t="s">
        <v>2432</v>
      </c>
      <c r="N38" s="168"/>
      <c r="O38" s="167"/>
      <c r="P38" s="167"/>
      <c r="Q38" s="167"/>
      <c r="R38" s="167"/>
      <c r="S38" s="167"/>
      <c r="T38" s="167"/>
      <c r="U38" s="167"/>
      <c r="V38" s="167"/>
      <c r="AA38" s="126"/>
    </row>
    <row r="39" spans="1:31" s="3" customFormat="1">
      <c r="B39" s="3" t="s">
        <v>47</v>
      </c>
      <c r="AA39" s="126"/>
    </row>
    <row r="40" spans="1:31" s="3" customFormat="1" ht="25.5">
      <c r="B40" s="3" t="s">
        <v>48</v>
      </c>
      <c r="C40" s="145" t="s">
        <v>1930</v>
      </c>
      <c r="D40" s="14" t="s">
        <v>225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6"/>
    </row>
    <row r="41" spans="1:31" s="3" customFormat="1">
      <c r="B41" s="3" t="s">
        <v>10</v>
      </c>
      <c r="C41" s="14">
        <v>10415</v>
      </c>
      <c r="D41" s="14">
        <v>8562</v>
      </c>
      <c r="E41" s="14">
        <v>6347</v>
      </c>
      <c r="F41" s="14">
        <v>6354</v>
      </c>
      <c r="G41" s="14">
        <v>6147</v>
      </c>
      <c r="H41" s="14">
        <v>6021</v>
      </c>
      <c r="I41" s="14">
        <v>4671</v>
      </c>
      <c r="J41" s="14">
        <v>4802</v>
      </c>
      <c r="AA41" s="126"/>
    </row>
    <row r="42" spans="1:31" s="3" customFormat="1">
      <c r="B42" s="3" t="s">
        <v>11</v>
      </c>
      <c r="C42" s="14">
        <v>8862</v>
      </c>
      <c r="D42" s="14">
        <v>7429</v>
      </c>
      <c r="E42" s="14">
        <v>5483</v>
      </c>
      <c r="F42" s="14">
        <v>5403</v>
      </c>
      <c r="G42" s="14">
        <v>5222</v>
      </c>
      <c r="H42" s="14">
        <v>5032</v>
      </c>
      <c r="I42" s="14">
        <v>3880</v>
      </c>
      <c r="J42" s="14">
        <v>3941</v>
      </c>
      <c r="O42" s="127"/>
      <c r="P42" s="127"/>
      <c r="Q42" s="127"/>
      <c r="R42" s="127"/>
      <c r="S42" s="127"/>
      <c r="T42" s="127"/>
      <c r="U42" s="127"/>
      <c r="V42" s="127"/>
      <c r="AA42" s="126"/>
    </row>
    <row r="43" spans="1:31" s="3" customFormat="1">
      <c r="B43" s="3" t="s">
        <v>55</v>
      </c>
      <c r="C43" s="14">
        <v>1553</v>
      </c>
      <c r="D43" s="14">
        <v>1132</v>
      </c>
      <c r="E43" s="14">
        <v>864</v>
      </c>
      <c r="F43" s="14">
        <v>951</v>
      </c>
      <c r="G43" s="14">
        <v>925</v>
      </c>
      <c r="H43" s="14">
        <v>989</v>
      </c>
      <c r="I43" s="14">
        <v>790</v>
      </c>
      <c r="J43" s="14">
        <v>861</v>
      </c>
      <c r="O43" s="169"/>
      <c r="P43" s="169"/>
      <c r="Q43" s="169"/>
      <c r="R43" s="169"/>
      <c r="S43" s="169"/>
      <c r="T43" s="169"/>
      <c r="U43" s="169"/>
      <c r="V43" s="169"/>
      <c r="AA43" s="126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6"/>
    </row>
    <row r="45" spans="1:31" s="3" customFormat="1">
      <c r="B45" s="3" t="s">
        <v>57</v>
      </c>
      <c r="C45" s="14">
        <v>1553</v>
      </c>
      <c r="D45" s="14">
        <v>1132</v>
      </c>
      <c r="E45" s="14">
        <v>864</v>
      </c>
      <c r="F45" s="14">
        <v>951</v>
      </c>
      <c r="G45" s="14">
        <v>925</v>
      </c>
      <c r="H45" s="14">
        <v>989</v>
      </c>
      <c r="I45" s="14">
        <v>790</v>
      </c>
      <c r="J45" s="14">
        <v>861</v>
      </c>
      <c r="N45" s="170"/>
      <c r="O45" s="191"/>
      <c r="P45" s="193"/>
      <c r="Q45" s="193"/>
      <c r="R45" s="193"/>
      <c r="S45" s="193"/>
      <c r="T45" s="193"/>
      <c r="U45" s="193"/>
      <c r="V45" s="193"/>
      <c r="W45" s="192"/>
      <c r="X45" s="192"/>
      <c r="Y45" s="192"/>
      <c r="AA45" s="126"/>
    </row>
    <row r="46" spans="1:31" s="3" customFormat="1">
      <c r="B46" s="3" t="s">
        <v>58</v>
      </c>
      <c r="C46" s="14">
        <v>929</v>
      </c>
      <c r="D46" s="14">
        <v>764</v>
      </c>
      <c r="E46" s="14">
        <v>677</v>
      </c>
      <c r="F46" s="14">
        <v>644</v>
      </c>
      <c r="G46" s="14">
        <v>611</v>
      </c>
      <c r="H46" s="14">
        <v>662</v>
      </c>
      <c r="I46" s="14">
        <v>557</v>
      </c>
      <c r="J46" s="14">
        <v>590</v>
      </c>
      <c r="N46" s="125"/>
      <c r="AA46" s="126"/>
    </row>
    <row r="47" spans="1:31" s="3" customFormat="1">
      <c r="B47" s="3" t="s">
        <v>59</v>
      </c>
      <c r="C47" s="14">
        <v>278</v>
      </c>
      <c r="D47" s="14">
        <v>236</v>
      </c>
      <c r="E47" s="14">
        <v>197</v>
      </c>
      <c r="F47" s="14">
        <v>162</v>
      </c>
      <c r="G47" s="14">
        <v>173</v>
      </c>
      <c r="H47" s="14">
        <v>193</v>
      </c>
      <c r="I47" s="14">
        <v>167</v>
      </c>
      <c r="J47" s="14">
        <v>168</v>
      </c>
      <c r="N47" s="125"/>
      <c r="O47" s="189"/>
      <c r="P47" s="189"/>
      <c r="Q47" s="189"/>
      <c r="R47" s="189"/>
      <c r="S47" s="189"/>
      <c r="T47" s="189"/>
      <c r="U47" s="189"/>
      <c r="V47" s="189"/>
      <c r="AA47" s="126"/>
    </row>
    <row r="48" spans="1:31" s="3" customFormat="1" ht="17.25" thickBot="1">
      <c r="B48" s="3" t="s">
        <v>60</v>
      </c>
      <c r="C48" s="14">
        <v>240</v>
      </c>
      <c r="D48" s="14">
        <v>185</v>
      </c>
      <c r="E48" s="14">
        <v>180</v>
      </c>
      <c r="F48" s="14">
        <v>164</v>
      </c>
      <c r="G48" s="14">
        <v>166</v>
      </c>
      <c r="H48" s="14">
        <v>180</v>
      </c>
      <c r="I48" s="14">
        <v>143</v>
      </c>
      <c r="J48" s="14">
        <v>154</v>
      </c>
      <c r="N48" s="125"/>
      <c r="O48" s="188"/>
      <c r="P48" s="127"/>
      <c r="Q48" s="127"/>
      <c r="R48" s="127"/>
      <c r="S48" s="127"/>
      <c r="T48" s="127"/>
      <c r="U48" s="127"/>
      <c r="V48" s="127"/>
      <c r="AA48" s="126"/>
    </row>
    <row r="49" spans="2:27" s="3" customFormat="1">
      <c r="B49" s="3" t="s">
        <v>61</v>
      </c>
      <c r="C49" s="14">
        <v>411</v>
      </c>
      <c r="D49" s="14">
        <v>343</v>
      </c>
      <c r="E49" s="14">
        <v>300</v>
      </c>
      <c r="F49" s="14">
        <v>318</v>
      </c>
      <c r="G49" s="14">
        <v>272</v>
      </c>
      <c r="H49" s="14">
        <v>289</v>
      </c>
      <c r="I49" s="14">
        <v>247</v>
      </c>
      <c r="J49" s="14">
        <v>268</v>
      </c>
      <c r="N49" s="115" t="s">
        <v>1947</v>
      </c>
      <c r="O49" s="396" t="s">
        <v>1949</v>
      </c>
      <c r="P49" s="396" t="s">
        <v>1950</v>
      </c>
      <c r="Q49" s="398" t="s">
        <v>1951</v>
      </c>
      <c r="R49" s="396" t="s">
        <v>1952</v>
      </c>
      <c r="S49" s="370" t="s">
        <v>1953</v>
      </c>
      <c r="T49" s="393" t="s">
        <v>1954</v>
      </c>
      <c r="U49" s="370" t="s">
        <v>1955</v>
      </c>
      <c r="V49" s="370" t="s">
        <v>1956</v>
      </c>
      <c r="W49" s="370" t="s">
        <v>1957</v>
      </c>
      <c r="X49" s="370" t="s">
        <v>1958</v>
      </c>
      <c r="Y49" s="370" t="s">
        <v>1959</v>
      </c>
      <c r="AA49" s="126"/>
    </row>
    <row r="50" spans="2:27" s="3" customFormat="1" ht="17.25" thickBot="1">
      <c r="B50" s="3" t="s">
        <v>62</v>
      </c>
      <c r="C50" s="14">
        <v>625</v>
      </c>
      <c r="D50" s="14">
        <v>369</v>
      </c>
      <c r="E50" s="14">
        <v>187</v>
      </c>
      <c r="F50" s="14">
        <v>307</v>
      </c>
      <c r="G50" s="14">
        <v>314</v>
      </c>
      <c r="H50" s="14">
        <v>326</v>
      </c>
      <c r="I50" s="14">
        <v>233</v>
      </c>
      <c r="J50" s="14">
        <v>271</v>
      </c>
      <c r="N50" s="116" t="s">
        <v>1948</v>
      </c>
      <c r="O50" s="397"/>
      <c r="P50" s="397"/>
      <c r="Q50" s="399"/>
      <c r="R50" s="397"/>
      <c r="S50" s="371"/>
      <c r="T50" s="394"/>
      <c r="U50" s="371"/>
      <c r="V50" s="371"/>
      <c r="W50" s="371"/>
      <c r="X50" s="371"/>
      <c r="Y50" s="371"/>
      <c r="AA50" s="126"/>
    </row>
    <row r="51" spans="2:27" s="3" customFormat="1" ht="57">
      <c r="B51" s="3" t="s">
        <v>63</v>
      </c>
      <c r="C51" s="14">
        <v>21</v>
      </c>
      <c r="D51" s="14">
        <v>22</v>
      </c>
      <c r="E51" s="14">
        <v>22</v>
      </c>
      <c r="F51" s="14">
        <v>25</v>
      </c>
      <c r="G51" s="14">
        <v>22</v>
      </c>
      <c r="H51" s="14">
        <v>10</v>
      </c>
      <c r="I51" s="14">
        <v>9</v>
      </c>
      <c r="J51" s="14">
        <v>8</v>
      </c>
      <c r="N51" s="128" t="s">
        <v>2979</v>
      </c>
      <c r="O51" s="372">
        <v>0.60416666666666663</v>
      </c>
      <c r="P51" s="375">
        <v>85.2</v>
      </c>
      <c r="Q51" s="378">
        <v>85.2</v>
      </c>
      <c r="R51" s="381">
        <v>85.3</v>
      </c>
      <c r="S51" s="384" t="s">
        <v>2980</v>
      </c>
      <c r="T51" s="387">
        <v>886</v>
      </c>
      <c r="U51" s="390">
        <v>85.9</v>
      </c>
      <c r="V51" s="390">
        <v>86.2</v>
      </c>
      <c r="W51" s="390">
        <v>86.6</v>
      </c>
      <c r="X51" s="390">
        <v>84.9</v>
      </c>
      <c r="Y51" s="129" t="s">
        <v>1961</v>
      </c>
      <c r="AA51" s="126"/>
    </row>
    <row r="52" spans="2:27" s="3" customFormat="1" ht="57">
      <c r="B52" s="3" t="s">
        <v>64</v>
      </c>
      <c r="C52" s="14">
        <v>2</v>
      </c>
      <c r="D52" s="14">
        <v>0</v>
      </c>
      <c r="E52" s="14">
        <v>0</v>
      </c>
      <c r="F52" s="14">
        <v>0</v>
      </c>
      <c r="G52" s="14">
        <v>1</v>
      </c>
      <c r="H52" s="14">
        <v>0</v>
      </c>
      <c r="I52" s="14">
        <v>0</v>
      </c>
      <c r="J52" s="14">
        <v>0</v>
      </c>
      <c r="N52" s="130" t="s">
        <v>1960</v>
      </c>
      <c r="O52" s="373"/>
      <c r="P52" s="376"/>
      <c r="Q52" s="379"/>
      <c r="R52" s="382"/>
      <c r="S52" s="385"/>
      <c r="T52" s="388"/>
      <c r="U52" s="391"/>
      <c r="V52" s="391"/>
      <c r="W52" s="391"/>
      <c r="X52" s="391"/>
      <c r="Y52" s="131" t="s">
        <v>1962</v>
      </c>
      <c r="AA52" s="126"/>
    </row>
    <row r="53" spans="2:27" s="3" customFormat="1" ht="57">
      <c r="B53" s="3" t="s">
        <v>65</v>
      </c>
      <c r="C53" s="14">
        <v>13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2"/>
      <c r="O53" s="373"/>
      <c r="P53" s="376"/>
      <c r="Q53" s="379"/>
      <c r="R53" s="382"/>
      <c r="S53" s="385"/>
      <c r="T53" s="388"/>
      <c r="U53" s="391"/>
      <c r="V53" s="391"/>
      <c r="W53" s="391"/>
      <c r="X53" s="391"/>
      <c r="Y53" s="131" t="s">
        <v>1963</v>
      </c>
      <c r="AA53" s="126"/>
    </row>
    <row r="54" spans="2:27" s="3" customFormat="1" ht="57.7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3"/>
      <c r="O54" s="374"/>
      <c r="P54" s="377"/>
      <c r="Q54" s="380"/>
      <c r="R54" s="383"/>
      <c r="S54" s="386"/>
      <c r="T54" s="389"/>
      <c r="U54" s="392"/>
      <c r="V54" s="392"/>
      <c r="W54" s="392"/>
      <c r="X54" s="392"/>
      <c r="Y54" s="134" t="s">
        <v>1964</v>
      </c>
      <c r="AA54" s="126"/>
    </row>
    <row r="55" spans="2:27" s="3" customFormat="1" ht="17.25" customHeight="1" thickBot="1">
      <c r="B55" s="3" t="s">
        <v>67</v>
      </c>
      <c r="C55" s="14">
        <v>-11</v>
      </c>
      <c r="D55" s="14">
        <v>-6</v>
      </c>
      <c r="E55" s="14">
        <v>17</v>
      </c>
      <c r="F55" s="14">
        <v>26</v>
      </c>
      <c r="G55" s="14">
        <v>23</v>
      </c>
      <c r="H55" s="14">
        <v>6</v>
      </c>
      <c r="I55" s="14">
        <v>0</v>
      </c>
      <c r="J55" s="14">
        <v>-9</v>
      </c>
      <c r="N55" s="117"/>
      <c r="O55" s="291"/>
      <c r="P55" s="292"/>
      <c r="Q55" s="292"/>
      <c r="R55" s="292"/>
      <c r="S55" s="292"/>
      <c r="T55" s="292"/>
      <c r="U55" s="292"/>
      <c r="V55" s="292"/>
      <c r="W55" s="292"/>
      <c r="X55" s="292"/>
      <c r="Y55" s="293"/>
      <c r="AA55" s="126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O56" s="3" t="s">
        <v>2981</v>
      </c>
      <c r="Q56" s="14"/>
      <c r="R56" s="14"/>
      <c r="T56" s="14"/>
      <c r="AA56" s="126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6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O58" s="3" t="s">
        <v>2982</v>
      </c>
      <c r="Q58" s="14"/>
      <c r="R58" s="14"/>
      <c r="T58" s="14"/>
      <c r="AA58" s="126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6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O60" s="3" t="s">
        <v>2983</v>
      </c>
      <c r="Q60" s="14"/>
      <c r="R60" s="14"/>
      <c r="T60" s="14"/>
      <c r="AA60" s="126"/>
    </row>
    <row r="61" spans="2:27" s="3" customFormat="1">
      <c r="B61" s="3" t="s">
        <v>73</v>
      </c>
      <c r="C61" s="14">
        <v>-16</v>
      </c>
      <c r="D61" s="14">
        <v>16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7</v>
      </c>
      <c r="O61" s="3" t="s">
        <v>1979</v>
      </c>
      <c r="AA61" s="126"/>
    </row>
    <row r="62" spans="2:27" s="3" customFormat="1">
      <c r="B62" s="3" t="s">
        <v>74</v>
      </c>
      <c r="C62" s="14">
        <v>6</v>
      </c>
      <c r="D62" s="14">
        <v>4</v>
      </c>
      <c r="E62" s="14">
        <v>6</v>
      </c>
      <c r="F62" s="14">
        <v>7</v>
      </c>
      <c r="G62" s="14">
        <v>4</v>
      </c>
      <c r="H62" s="14">
        <v>3</v>
      </c>
      <c r="I62" s="14">
        <v>4</v>
      </c>
      <c r="J62" s="14">
        <v>7</v>
      </c>
      <c r="O62" s="3" t="s">
        <v>1980</v>
      </c>
      <c r="P62" s="3" t="s">
        <v>1981</v>
      </c>
      <c r="Q62" s="14" t="s">
        <v>1982</v>
      </c>
      <c r="R62" s="14" t="s">
        <v>1983</v>
      </c>
      <c r="S62" s="3" t="s">
        <v>1984</v>
      </c>
      <c r="T62" s="14" t="s">
        <v>1985</v>
      </c>
      <c r="U62" s="3" t="s">
        <v>1984</v>
      </c>
      <c r="AA62" s="126"/>
    </row>
    <row r="63" spans="2:27" s="3" customFormat="1">
      <c r="B63" s="3" t="s">
        <v>75</v>
      </c>
      <c r="C63" s="14">
        <v>16</v>
      </c>
      <c r="D63" s="14">
        <v>36</v>
      </c>
      <c r="E63" s="14">
        <v>45</v>
      </c>
      <c r="F63" s="14">
        <v>58</v>
      </c>
      <c r="G63" s="14">
        <v>50</v>
      </c>
      <c r="H63" s="14">
        <v>19</v>
      </c>
      <c r="I63" s="14">
        <v>13</v>
      </c>
      <c r="J63" s="14">
        <v>13</v>
      </c>
      <c r="O63" s="3" t="s">
        <v>1986</v>
      </c>
      <c r="P63" s="14">
        <v>3227368</v>
      </c>
      <c r="Q63" s="135">
        <v>-1.89E-2</v>
      </c>
      <c r="R63" s="14">
        <v>2082813</v>
      </c>
      <c r="S63" s="135">
        <v>0.54949999999999999</v>
      </c>
      <c r="T63" s="14">
        <v>31841330</v>
      </c>
      <c r="U63" s="135">
        <v>0.51939999999999997</v>
      </c>
      <c r="AA63" s="126"/>
    </row>
    <row r="64" spans="2:27" s="3" customFormat="1">
      <c r="B64" s="3" t="s">
        <v>76</v>
      </c>
      <c r="C64" s="14">
        <v>23</v>
      </c>
      <c r="D64" s="14">
        <v>17</v>
      </c>
      <c r="E64" s="14">
        <v>11</v>
      </c>
      <c r="F64" s="14">
        <v>27</v>
      </c>
      <c r="G64" s="14">
        <v>24</v>
      </c>
      <c r="H64" s="14">
        <v>18</v>
      </c>
      <c r="I64" s="14">
        <v>13</v>
      </c>
      <c r="J64" s="14">
        <v>12</v>
      </c>
      <c r="O64" s="3" t="s">
        <v>1987</v>
      </c>
      <c r="P64" s="14">
        <v>3289510</v>
      </c>
      <c r="Q64" s="14">
        <v>-2.69E-2</v>
      </c>
      <c r="R64" s="14">
        <v>2035301</v>
      </c>
      <c r="S64" s="135">
        <v>0.61619999999999997</v>
      </c>
      <c r="T64" s="14">
        <v>28613962</v>
      </c>
      <c r="U64" s="135">
        <v>0.51600000000000001</v>
      </c>
      <c r="AA64" s="126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O65" s="3" t="s">
        <v>1988</v>
      </c>
      <c r="P65" s="14">
        <v>3380441</v>
      </c>
      <c r="Q65" s="135">
        <v>-3.95E-2</v>
      </c>
      <c r="R65" s="14">
        <v>2086067</v>
      </c>
      <c r="S65" s="135">
        <v>0.62050000000000005</v>
      </c>
      <c r="T65" s="14">
        <v>25311451</v>
      </c>
      <c r="U65" s="135">
        <v>0.50260000000000005</v>
      </c>
      <c r="AA65" s="126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2</v>
      </c>
      <c r="O66" s="3" t="s">
        <v>1989</v>
      </c>
      <c r="P66" s="14">
        <v>3519616</v>
      </c>
      <c r="Q66" s="14">
        <v>5.0000000000000001E-3</v>
      </c>
      <c r="R66" s="14">
        <v>2032407</v>
      </c>
      <c r="S66" s="135">
        <v>0.73170000000000002</v>
      </c>
      <c r="T66" s="14">
        <v>21931010</v>
      </c>
      <c r="U66" s="135">
        <v>0.4859</v>
      </c>
      <c r="AA66" s="126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O67" s="3" t="s">
        <v>1990</v>
      </c>
      <c r="P67" s="14">
        <v>3502108</v>
      </c>
      <c r="Q67" s="135">
        <v>0.121</v>
      </c>
      <c r="R67" s="14">
        <v>2034845</v>
      </c>
      <c r="S67" s="135">
        <v>0.72109999999999996</v>
      </c>
      <c r="T67" s="14">
        <v>18411394</v>
      </c>
      <c r="U67" s="135">
        <v>0.44669999999999999</v>
      </c>
      <c r="AA67" s="126"/>
    </row>
    <row r="68" spans="2:27" s="3" customFormat="1">
      <c r="B68" s="3" t="s">
        <v>80</v>
      </c>
      <c r="C68" s="14">
        <v>0</v>
      </c>
      <c r="D68" s="14">
        <v>0</v>
      </c>
      <c r="E68" s="14">
        <v>2</v>
      </c>
      <c r="F68" s="14">
        <v>-3</v>
      </c>
      <c r="G68" s="14">
        <v>26</v>
      </c>
      <c r="H68" s="14">
        <v>0</v>
      </c>
      <c r="I68" s="14">
        <v>0</v>
      </c>
      <c r="J68" s="14">
        <v>4</v>
      </c>
      <c r="O68" s="3" t="s">
        <v>1991</v>
      </c>
      <c r="P68" s="14">
        <v>3124100</v>
      </c>
      <c r="Q68" s="14">
        <v>0.1147</v>
      </c>
      <c r="R68" s="14">
        <v>2089893</v>
      </c>
      <c r="S68" s="135">
        <v>0.49490000000000001</v>
      </c>
      <c r="T68" s="14">
        <v>14902362</v>
      </c>
      <c r="U68" s="135">
        <v>0.39360000000000001</v>
      </c>
      <c r="AA68" s="126"/>
    </row>
    <row r="69" spans="2:27" s="3" customFormat="1">
      <c r="B69" s="3" t="s">
        <v>81</v>
      </c>
      <c r="C69" s="14">
        <v>12</v>
      </c>
      <c r="D69" s="14">
        <v>0</v>
      </c>
      <c r="E69" s="14">
        <v>0</v>
      </c>
      <c r="F69" s="14">
        <v>0</v>
      </c>
      <c r="G69" s="14">
        <v>0</v>
      </c>
      <c r="H69" s="14">
        <v>-3</v>
      </c>
      <c r="I69" s="14">
        <v>3</v>
      </c>
      <c r="J69" s="14">
        <v>0</v>
      </c>
      <c r="O69" s="3" t="s">
        <v>1992</v>
      </c>
      <c r="P69" s="14">
        <v>2802709</v>
      </c>
      <c r="Q69" s="135">
        <v>6.6400000000000001E-2</v>
      </c>
      <c r="R69" s="14">
        <v>2080068</v>
      </c>
      <c r="S69" s="135">
        <v>0.34739999999999999</v>
      </c>
      <c r="T69" s="14">
        <v>11778262</v>
      </c>
      <c r="U69" s="135">
        <v>0.36899999999999999</v>
      </c>
      <c r="AA69" s="126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O70" s="3" t="s">
        <v>1993</v>
      </c>
      <c r="P70" s="14">
        <v>2628169</v>
      </c>
      <c r="Q70" s="14">
        <v>0.1159</v>
      </c>
      <c r="R70" s="14">
        <v>1852487</v>
      </c>
      <c r="S70" s="135">
        <v>0.41870000000000002</v>
      </c>
      <c r="T70" s="14">
        <v>8975553</v>
      </c>
      <c r="U70" s="135">
        <v>0.37590000000000001</v>
      </c>
      <c r="AA70" s="126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O71" s="3" t="s">
        <v>1994</v>
      </c>
      <c r="P71" s="14">
        <v>2355117</v>
      </c>
      <c r="Q71" s="135">
        <v>0.39040000000000002</v>
      </c>
      <c r="R71" s="14">
        <v>1743606</v>
      </c>
      <c r="S71" s="135">
        <v>0.35070000000000001</v>
      </c>
      <c r="T71" s="14">
        <v>6345569</v>
      </c>
      <c r="U71" s="135">
        <v>0.35899999999999999</v>
      </c>
      <c r="AA71" s="126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O72" s="3" t="s">
        <v>1995</v>
      </c>
      <c r="P72" s="14">
        <v>1693826</v>
      </c>
      <c r="Q72" s="14">
        <v>-0.26250000000000001</v>
      </c>
      <c r="R72" s="14">
        <v>1356491</v>
      </c>
      <c r="S72" s="135">
        <v>0.2487</v>
      </c>
      <c r="T72" s="14">
        <v>3990452</v>
      </c>
      <c r="U72" s="135">
        <v>0.36399999999999999</v>
      </c>
      <c r="AA72" s="126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-7</v>
      </c>
      <c r="O73" s="3" t="s">
        <v>1996</v>
      </c>
      <c r="P73" s="14">
        <v>2296628</v>
      </c>
      <c r="Q73" s="135">
        <v>2.7300000000000001E-2</v>
      </c>
      <c r="R73" s="14">
        <v>1569147</v>
      </c>
      <c r="S73" s="135">
        <v>0.46360000000000001</v>
      </c>
      <c r="T73" s="14">
        <v>2296628</v>
      </c>
      <c r="U73" s="135">
        <v>0.46360000000000001</v>
      </c>
      <c r="AA73" s="126"/>
    </row>
    <row r="74" spans="2:27" s="3" customFormat="1">
      <c r="B74" s="3" t="s">
        <v>86</v>
      </c>
      <c r="C74" s="14">
        <v>66</v>
      </c>
      <c r="D74" s="14">
        <v>-17</v>
      </c>
      <c r="E74" s="14">
        <v>17</v>
      </c>
      <c r="F74" s="14">
        <v>-10</v>
      </c>
      <c r="G74" s="14">
        <v>24</v>
      </c>
      <c r="H74" s="14">
        <v>1</v>
      </c>
      <c r="I74" s="14">
        <v>9</v>
      </c>
      <c r="J74" s="14">
        <v>0</v>
      </c>
      <c r="O74" s="3" t="s">
        <v>1997</v>
      </c>
      <c r="P74" s="14">
        <v>2235678</v>
      </c>
      <c r="Q74" s="14">
        <v>7.3400000000000007E-2</v>
      </c>
      <c r="R74" s="14">
        <v>1634661</v>
      </c>
      <c r="S74" s="135">
        <v>0.36770000000000003</v>
      </c>
      <c r="T74" s="14">
        <v>23192689</v>
      </c>
      <c r="U74" s="135">
        <v>0.21579999999999999</v>
      </c>
      <c r="AA74" s="126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O75" s="3" t="s">
        <v>1998</v>
      </c>
      <c r="P75" s="14">
        <v>2082813</v>
      </c>
      <c r="Q75" s="135">
        <v>2.3300000000000001E-2</v>
      </c>
      <c r="R75" s="14">
        <v>1622611</v>
      </c>
      <c r="S75" s="135">
        <v>0.28360000000000002</v>
      </c>
      <c r="T75" s="14">
        <v>20957011</v>
      </c>
      <c r="U75" s="135">
        <v>0.20150000000000001</v>
      </c>
      <c r="AA75" s="126"/>
    </row>
    <row r="76" spans="2:27" s="3" customFormat="1">
      <c r="B76" s="3" t="s">
        <v>88</v>
      </c>
      <c r="C76" s="14">
        <v>3</v>
      </c>
      <c r="D76" s="14">
        <v>1</v>
      </c>
      <c r="E76" s="14">
        <v>0</v>
      </c>
      <c r="F76" s="14">
        <v>1</v>
      </c>
      <c r="G76" s="14">
        <v>1</v>
      </c>
      <c r="H76" s="14">
        <v>1</v>
      </c>
      <c r="I76" s="14">
        <v>0</v>
      </c>
      <c r="J76" s="14">
        <v>4</v>
      </c>
      <c r="O76" s="3" t="s">
        <v>1999</v>
      </c>
      <c r="P76" s="14">
        <v>2035301</v>
      </c>
      <c r="Q76" s="14">
        <v>-2.4299999999999999E-2</v>
      </c>
      <c r="R76" s="14">
        <v>1545105</v>
      </c>
      <c r="S76" s="135">
        <v>0.31730000000000003</v>
      </c>
      <c r="T76" s="14">
        <v>18874198</v>
      </c>
      <c r="U76" s="135">
        <v>0.19309999999999999</v>
      </c>
      <c r="AA76" s="126"/>
    </row>
    <row r="77" spans="2:27" s="3" customFormat="1">
      <c r="B77" s="3" t="s">
        <v>89</v>
      </c>
      <c r="C77" s="14">
        <v>104</v>
      </c>
      <c r="D77" s="14">
        <v>1</v>
      </c>
      <c r="E77" s="14">
        <v>30</v>
      </c>
      <c r="F77" s="14">
        <v>14</v>
      </c>
      <c r="G77" s="14">
        <v>75</v>
      </c>
      <c r="H77" s="14">
        <v>18</v>
      </c>
      <c r="I77" s="14">
        <v>25</v>
      </c>
      <c r="J77" s="14">
        <v>16</v>
      </c>
      <c r="O77" s="3" t="s">
        <v>2000</v>
      </c>
      <c r="P77" s="14">
        <v>2086067</v>
      </c>
      <c r="Q77" s="135">
        <v>2.64E-2</v>
      </c>
      <c r="R77" s="14">
        <v>1581811</v>
      </c>
      <c r="S77" s="135">
        <v>0.31879999999999997</v>
      </c>
      <c r="T77" s="14">
        <v>16845009</v>
      </c>
      <c r="U77" s="135">
        <v>0.18010000000000001</v>
      </c>
      <c r="AA77" s="126"/>
    </row>
    <row r="78" spans="2:27" s="3" customFormat="1">
      <c r="B78" s="3" t="s">
        <v>90</v>
      </c>
      <c r="C78" s="14">
        <v>537</v>
      </c>
      <c r="D78" s="14">
        <v>404</v>
      </c>
      <c r="E78" s="14">
        <v>202</v>
      </c>
      <c r="F78" s="14">
        <v>351</v>
      </c>
      <c r="G78" s="14">
        <v>289</v>
      </c>
      <c r="H78" s="14">
        <v>328</v>
      </c>
      <c r="I78" s="14">
        <v>221</v>
      </c>
      <c r="J78" s="14">
        <v>268</v>
      </c>
      <c r="O78" s="3" t="s">
        <v>2001</v>
      </c>
      <c r="P78" s="14">
        <v>2032407</v>
      </c>
      <c r="Q78" s="14">
        <v>-1.1999999999999999E-3</v>
      </c>
      <c r="R78" s="14">
        <v>1712621</v>
      </c>
      <c r="S78" s="135">
        <v>0.1867</v>
      </c>
      <c r="T78" s="14">
        <v>14758942</v>
      </c>
      <c r="U78" s="135">
        <v>0.1628</v>
      </c>
      <c r="AA78" s="126"/>
    </row>
    <row r="79" spans="2:27" s="3" customFormat="1">
      <c r="B79" s="3" t="s">
        <v>91</v>
      </c>
      <c r="C79" s="14">
        <v>97</v>
      </c>
      <c r="D79" s="14">
        <v>76</v>
      </c>
      <c r="E79" s="14">
        <v>35</v>
      </c>
      <c r="F79" s="14">
        <v>96</v>
      </c>
      <c r="G79" s="14">
        <v>50</v>
      </c>
      <c r="H79" s="14">
        <v>56</v>
      </c>
      <c r="I79" s="14">
        <v>37</v>
      </c>
      <c r="J79" s="14">
        <v>46</v>
      </c>
      <c r="O79" s="3" t="s">
        <v>2002</v>
      </c>
      <c r="P79" s="14">
        <v>2034845</v>
      </c>
      <c r="Q79" s="135">
        <v>-2.63E-2</v>
      </c>
      <c r="R79" s="14">
        <v>1778748</v>
      </c>
      <c r="S79" s="135">
        <v>0.14399999999999999</v>
      </c>
      <c r="T79" s="14">
        <v>12726535</v>
      </c>
      <c r="U79" s="135">
        <v>0.15909999999999999</v>
      </c>
      <c r="AA79" s="126"/>
    </row>
    <row r="80" spans="2:27" s="3" customFormat="1">
      <c r="B80" s="3" t="s">
        <v>92</v>
      </c>
      <c r="C80" s="14">
        <v>440</v>
      </c>
      <c r="D80" s="14">
        <v>328</v>
      </c>
      <c r="E80" s="14">
        <v>167</v>
      </c>
      <c r="F80" s="14">
        <v>254</v>
      </c>
      <c r="G80" s="14">
        <v>239</v>
      </c>
      <c r="H80" s="14">
        <v>272</v>
      </c>
      <c r="I80" s="14">
        <v>184</v>
      </c>
      <c r="J80" s="14">
        <v>222</v>
      </c>
      <c r="O80" s="3" t="s">
        <v>2003</v>
      </c>
      <c r="P80" s="14">
        <v>2089893</v>
      </c>
      <c r="Q80" s="14">
        <v>4.7000000000000002E-3</v>
      </c>
      <c r="R80" s="14">
        <v>1678154</v>
      </c>
      <c r="S80" s="135">
        <v>0.24540000000000001</v>
      </c>
      <c r="T80" s="14">
        <v>10693211</v>
      </c>
      <c r="U80" s="135">
        <v>0.16220000000000001</v>
      </c>
      <c r="AA80" s="126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O81" s="3" t="s">
        <v>2004</v>
      </c>
      <c r="P81" s="14">
        <v>2080068</v>
      </c>
      <c r="Q81" s="135">
        <v>0.1229</v>
      </c>
      <c r="R81" s="14">
        <v>1694484</v>
      </c>
      <c r="S81" s="135">
        <v>0.2276</v>
      </c>
      <c r="T81" s="14">
        <v>8603318</v>
      </c>
      <c r="U81" s="135">
        <v>0.14360000000000001</v>
      </c>
      <c r="AA81" s="126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O82" s="3" t="s">
        <v>2005</v>
      </c>
      <c r="P82" s="14">
        <v>1852487</v>
      </c>
      <c r="Q82" s="14">
        <v>6.2399999999999997E-2</v>
      </c>
      <c r="R82" s="14">
        <v>1720539</v>
      </c>
      <c r="S82" s="135">
        <v>7.6700000000000004E-2</v>
      </c>
      <c r="T82" s="14">
        <v>6523250</v>
      </c>
      <c r="U82" s="135">
        <v>0.1192</v>
      </c>
      <c r="AA82" s="126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O83" s="3" t="s">
        <v>2006</v>
      </c>
      <c r="P83" s="14">
        <v>1743606</v>
      </c>
      <c r="Q83" s="135">
        <v>0.28539999999999999</v>
      </c>
      <c r="R83" s="14">
        <v>1644087</v>
      </c>
      <c r="S83" s="135">
        <v>6.0499999999999998E-2</v>
      </c>
      <c r="T83" s="14">
        <v>4669244</v>
      </c>
      <c r="U83" s="135">
        <v>0.1366</v>
      </c>
      <c r="AA83" s="126"/>
    </row>
    <row r="84" spans="2:27" s="3" customFormat="1">
      <c r="B84" s="3" t="s">
        <v>96</v>
      </c>
      <c r="C84" s="14">
        <v>440</v>
      </c>
      <c r="D84" s="14">
        <v>328</v>
      </c>
      <c r="E84" s="14">
        <v>167</v>
      </c>
      <c r="F84" s="14">
        <v>254</v>
      </c>
      <c r="G84" s="14">
        <v>239</v>
      </c>
      <c r="H84" s="14">
        <v>272</v>
      </c>
      <c r="I84" s="14">
        <v>184</v>
      </c>
      <c r="J84" s="14">
        <v>222</v>
      </c>
      <c r="O84" s="3" t="s">
        <v>2007</v>
      </c>
      <c r="P84" s="14">
        <v>1356491</v>
      </c>
      <c r="Q84" s="14">
        <v>-0.13550000000000001</v>
      </c>
      <c r="R84" s="14">
        <v>1056588</v>
      </c>
      <c r="S84" s="135">
        <v>0.2838</v>
      </c>
      <c r="T84" s="14">
        <v>2925638</v>
      </c>
      <c r="U84" s="135">
        <v>0.18740000000000001</v>
      </c>
      <c r="AA84" s="126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O85" s="3" t="s">
        <v>2008</v>
      </c>
      <c r="P85" s="14">
        <v>1569147</v>
      </c>
      <c r="Q85" s="135">
        <v>-4.0099999999999997E-2</v>
      </c>
      <c r="R85" s="14">
        <v>1407245</v>
      </c>
      <c r="S85" s="135">
        <v>0.115</v>
      </c>
      <c r="T85" s="14">
        <v>1569147</v>
      </c>
      <c r="U85" s="135">
        <v>0.115</v>
      </c>
      <c r="AA85" s="126"/>
    </row>
    <row r="86" spans="2:27" s="3" customFormat="1">
      <c r="B86" s="3" t="s">
        <v>99</v>
      </c>
      <c r="C86" s="14">
        <v>-2</v>
      </c>
      <c r="D86" s="14">
        <v>-1</v>
      </c>
      <c r="E86" s="14">
        <v>-1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O86" s="3" t="s">
        <v>2009</v>
      </c>
      <c r="P86" s="14">
        <v>1634661</v>
      </c>
      <c r="Q86" s="14">
        <v>7.4000000000000003E-3</v>
      </c>
      <c r="R86" s="14">
        <v>1364432</v>
      </c>
      <c r="S86" s="135">
        <v>0.1981</v>
      </c>
      <c r="T86" s="14">
        <v>19076628</v>
      </c>
      <c r="U86" s="135">
        <v>-9.9000000000000008E-3</v>
      </c>
      <c r="AA86" s="126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O87" s="3" t="s">
        <v>2010</v>
      </c>
      <c r="P87" s="14">
        <v>1622611</v>
      </c>
      <c r="Q87" s="135">
        <v>5.0200000000000002E-2</v>
      </c>
      <c r="R87" s="14">
        <v>1359280</v>
      </c>
      <c r="S87" s="135">
        <v>0.19370000000000001</v>
      </c>
      <c r="T87" s="14">
        <v>17441967</v>
      </c>
      <c r="U87" s="135">
        <v>-2.58E-2</v>
      </c>
      <c r="AA87" s="126"/>
    </row>
    <row r="88" spans="2:27" s="3" customFormat="1">
      <c r="B88" s="3" t="s">
        <v>13</v>
      </c>
      <c r="C88" s="14">
        <v>442</v>
      </c>
      <c r="D88" s="14">
        <v>329</v>
      </c>
      <c r="E88" s="14">
        <v>168</v>
      </c>
      <c r="F88" s="14">
        <v>255</v>
      </c>
      <c r="G88" s="14">
        <v>239</v>
      </c>
      <c r="H88" s="14">
        <v>272</v>
      </c>
      <c r="I88" s="14">
        <v>184</v>
      </c>
      <c r="J88" s="14">
        <v>222</v>
      </c>
      <c r="O88" s="3" t="s">
        <v>2011</v>
      </c>
      <c r="P88" s="14">
        <v>1545105</v>
      </c>
      <c r="Q88" s="14">
        <v>-2.3199999999999998E-2</v>
      </c>
      <c r="R88" s="14">
        <v>1545835</v>
      </c>
      <c r="S88" s="135">
        <v>-5.0000000000000001E-4</v>
      </c>
      <c r="T88" s="14">
        <v>15819356</v>
      </c>
      <c r="U88" s="135">
        <v>-4.3799999999999999E-2</v>
      </c>
      <c r="AA88" s="126"/>
    </row>
    <row r="89" spans="2:27" s="3" customFormat="1">
      <c r="B89" s="3" t="s">
        <v>14</v>
      </c>
      <c r="C89" s="14">
        <v>1.89</v>
      </c>
      <c r="D89" s="14">
        <v>1.43</v>
      </c>
      <c r="E89" s="14">
        <v>0.73</v>
      </c>
      <c r="F89" s="14">
        <v>1.1299999999999999</v>
      </c>
      <c r="G89" s="14">
        <v>1.07</v>
      </c>
      <c r="H89" s="14">
        <v>1.22</v>
      </c>
      <c r="I89" s="14">
        <v>0.84</v>
      </c>
      <c r="J89" s="14">
        <v>1.1000000000000001</v>
      </c>
      <c r="O89" s="3" t="s">
        <v>2012</v>
      </c>
      <c r="P89" s="14">
        <v>1581811</v>
      </c>
      <c r="Q89" s="135">
        <v>-7.6399999999999996E-2</v>
      </c>
      <c r="R89" s="14">
        <v>1775501</v>
      </c>
      <c r="S89" s="135">
        <v>-0.1091</v>
      </c>
      <c r="T89" s="14">
        <v>14274251</v>
      </c>
      <c r="U89" s="135">
        <v>-4.8300000000000003E-2</v>
      </c>
      <c r="AA89" s="126"/>
    </row>
    <row r="90" spans="2:27" s="3" customFormat="1">
      <c r="B90" s="3" t="s">
        <v>101</v>
      </c>
      <c r="C90" s="14">
        <v>1.81</v>
      </c>
      <c r="D90" s="14">
        <v>1.36</v>
      </c>
      <c r="E90" s="14">
        <v>0.7</v>
      </c>
      <c r="F90" s="14" t="s">
        <v>98</v>
      </c>
      <c r="G90" s="14">
        <v>1</v>
      </c>
      <c r="H90" s="14">
        <v>1.1399999999999999</v>
      </c>
      <c r="I90" s="14">
        <v>0.78</v>
      </c>
      <c r="J90" s="14" t="s">
        <v>98</v>
      </c>
      <c r="O90" s="3" t="s">
        <v>2013</v>
      </c>
      <c r="P90" s="14">
        <v>1712621</v>
      </c>
      <c r="Q90" s="14">
        <v>-3.7199999999999997E-2</v>
      </c>
      <c r="R90" s="14">
        <v>1852314</v>
      </c>
      <c r="S90" s="135">
        <v>-7.5399999999999995E-2</v>
      </c>
      <c r="T90" s="14">
        <v>12692466</v>
      </c>
      <c r="U90" s="135">
        <v>-4.0099999999999997E-2</v>
      </c>
      <c r="AA90" s="126"/>
    </row>
    <row r="91" spans="2:27" s="3" customFormat="1">
      <c r="B91" s="3" t="s">
        <v>102</v>
      </c>
      <c r="C91" s="14">
        <v>2339</v>
      </c>
      <c r="D91" s="14">
        <v>2303</v>
      </c>
      <c r="E91" s="14">
        <v>2303</v>
      </c>
      <c r="F91" s="14">
        <v>2254</v>
      </c>
      <c r="G91" s="14">
        <v>2239</v>
      </c>
      <c r="H91" s="14">
        <v>2225</v>
      </c>
      <c r="I91" s="14">
        <v>2194</v>
      </c>
      <c r="J91" s="14">
        <v>2017</v>
      </c>
      <c r="O91" s="3" t="s">
        <v>2014</v>
      </c>
      <c r="P91" s="14">
        <v>1778748</v>
      </c>
      <c r="Q91" s="135">
        <v>5.9900000000000002E-2</v>
      </c>
      <c r="R91" s="14">
        <v>1909664</v>
      </c>
      <c r="S91" s="135">
        <v>-6.8599999999999994E-2</v>
      </c>
      <c r="T91" s="14">
        <v>10979845</v>
      </c>
      <c r="U91" s="135">
        <v>-3.44E-2</v>
      </c>
      <c r="AA91" s="126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O92" s="3" t="s">
        <v>2015</v>
      </c>
      <c r="P92" s="14">
        <v>1678154</v>
      </c>
      <c r="Q92" s="14">
        <v>-9.5999999999999992E-3</v>
      </c>
      <c r="R92" s="14">
        <v>1859162</v>
      </c>
      <c r="S92" s="135">
        <v>-9.74E-2</v>
      </c>
      <c r="T92" s="14">
        <v>9201097</v>
      </c>
      <c r="U92" s="135">
        <v>-2.75E-2</v>
      </c>
      <c r="AA92" s="126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O93" s="3" t="s">
        <v>2016</v>
      </c>
      <c r="P93" s="14">
        <v>1694484</v>
      </c>
      <c r="Q93" s="135">
        <v>-1.5100000000000001E-2</v>
      </c>
      <c r="R93" s="14">
        <v>1793956</v>
      </c>
      <c r="S93" s="135">
        <v>-5.5399999999999998E-2</v>
      </c>
      <c r="T93" s="14">
        <v>7522943</v>
      </c>
      <c r="U93" s="135">
        <v>-1.04E-2</v>
      </c>
      <c r="AA93" s="126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O94" s="3" t="s">
        <v>2017</v>
      </c>
      <c r="P94" s="136">
        <v>1720539</v>
      </c>
      <c r="Q94" s="14">
        <v>4.65E-2</v>
      </c>
      <c r="R94" s="14">
        <v>1663618</v>
      </c>
      <c r="S94" s="135">
        <v>3.4200000000000001E-2</v>
      </c>
      <c r="T94" s="14">
        <v>5828459</v>
      </c>
      <c r="U94" s="135">
        <v>3.5999999999999999E-3</v>
      </c>
      <c r="AA94" s="126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O95" s="3" t="s">
        <v>2018</v>
      </c>
      <c r="P95" s="14">
        <v>1644087</v>
      </c>
      <c r="Q95" s="135">
        <v>0.55600000000000005</v>
      </c>
      <c r="R95" s="14">
        <v>1622936</v>
      </c>
      <c r="S95" s="135">
        <v>1.2999999999999999E-2</v>
      </c>
      <c r="T95" s="14">
        <v>4107920</v>
      </c>
      <c r="U95" s="135">
        <v>-8.8000000000000005E-3</v>
      </c>
      <c r="AA95" s="126"/>
    </row>
    <row r="96" spans="2:27" s="3" customFormat="1">
      <c r="B96" s="3" t="s">
        <v>107</v>
      </c>
      <c r="C96" s="14">
        <v>559</v>
      </c>
      <c r="D96" s="14">
        <v>420</v>
      </c>
      <c r="E96" s="14">
        <v>213</v>
      </c>
      <c r="F96" s="14">
        <v>377</v>
      </c>
      <c r="G96" s="14">
        <v>314</v>
      </c>
      <c r="H96" s="14">
        <v>346</v>
      </c>
      <c r="I96" s="14">
        <v>234</v>
      </c>
      <c r="J96" s="14">
        <v>281</v>
      </c>
      <c r="O96" s="3" t="s">
        <v>2019</v>
      </c>
      <c r="P96" s="136">
        <v>1056588</v>
      </c>
      <c r="Q96" s="14">
        <v>-0.2492</v>
      </c>
      <c r="R96" s="14">
        <v>1407975</v>
      </c>
      <c r="S96" s="135">
        <v>-0.24959999999999999</v>
      </c>
      <c r="T96" s="14">
        <v>2463833</v>
      </c>
      <c r="U96" s="135">
        <v>-2.2800000000000001E-2</v>
      </c>
      <c r="AA96" s="126"/>
    </row>
    <row r="97" spans="2:27" s="3" customFormat="1">
      <c r="B97" s="3" t="s">
        <v>108</v>
      </c>
      <c r="C97" s="14">
        <v>688</v>
      </c>
      <c r="D97" s="14">
        <v>538</v>
      </c>
      <c r="E97" s="14">
        <v>329</v>
      </c>
      <c r="F97" s="14">
        <v>483</v>
      </c>
      <c r="G97" s="14">
        <v>417</v>
      </c>
      <c r="H97" s="14">
        <v>446</v>
      </c>
      <c r="I97" s="14">
        <v>331</v>
      </c>
      <c r="J97" s="14">
        <v>377</v>
      </c>
      <c r="O97" s="3" t="s">
        <v>2020</v>
      </c>
      <c r="P97" s="14">
        <v>1407245</v>
      </c>
      <c r="Q97" s="135">
        <v>3.1399999999999997E-2</v>
      </c>
      <c r="R97" s="14">
        <v>1113298</v>
      </c>
      <c r="S97" s="135">
        <v>0.26400000000000001</v>
      </c>
      <c r="T97" s="14">
        <v>1407245</v>
      </c>
      <c r="U97" s="135">
        <v>0.26400000000000001</v>
      </c>
      <c r="AA97" s="126"/>
    </row>
    <row r="98" spans="2:27" s="3" customFormat="1">
      <c r="B98" s="3" t="s">
        <v>109</v>
      </c>
      <c r="C98" s="14">
        <v>449</v>
      </c>
      <c r="D98" s="14">
        <v>335</v>
      </c>
      <c r="E98" s="14">
        <v>152</v>
      </c>
      <c r="F98" s="14">
        <v>225</v>
      </c>
      <c r="G98" s="14">
        <v>242</v>
      </c>
      <c r="H98" s="14">
        <v>263</v>
      </c>
      <c r="I98" s="14">
        <v>187</v>
      </c>
      <c r="J98" s="14">
        <v>228</v>
      </c>
      <c r="O98" s="3" t="s">
        <v>2021</v>
      </c>
      <c r="P98" s="136">
        <v>1364432</v>
      </c>
      <c r="Q98" s="14">
        <v>3.8E-3</v>
      </c>
      <c r="R98" s="14">
        <v>1331604</v>
      </c>
      <c r="S98" s="135">
        <v>2.47E-2</v>
      </c>
      <c r="T98" s="14">
        <v>19267971</v>
      </c>
      <c r="U98" s="135">
        <v>0.4551</v>
      </c>
      <c r="AA98" s="126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O99" s="3" t="s">
        <v>2022</v>
      </c>
      <c r="P99" s="14">
        <v>1359280</v>
      </c>
      <c r="Q99" s="135">
        <v>-0.1207</v>
      </c>
      <c r="R99" s="14">
        <v>1306877</v>
      </c>
      <c r="S99" s="135">
        <v>4.0099999999999997E-2</v>
      </c>
      <c r="T99" s="14">
        <v>17903539</v>
      </c>
      <c r="U99" s="135">
        <v>0.50319999999999998</v>
      </c>
      <c r="AA99" s="126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O100" s="3" t="s">
        <v>2023</v>
      </c>
      <c r="P100" s="136">
        <v>1545835</v>
      </c>
      <c r="Q100" s="14">
        <v>-0.12939999999999999</v>
      </c>
      <c r="R100" s="14"/>
      <c r="T100" s="14">
        <v>16544259</v>
      </c>
      <c r="AA100" s="126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O101" s="3" t="s">
        <v>2024</v>
      </c>
      <c r="P101" s="14">
        <v>1775501</v>
      </c>
      <c r="Q101" s="135">
        <v>-4.1500000000000002E-2</v>
      </c>
      <c r="T101" s="14">
        <v>14998424</v>
      </c>
      <c r="AA101" s="126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O102" s="3" t="s">
        <v>2025</v>
      </c>
      <c r="P102" s="136">
        <v>1852314</v>
      </c>
      <c r="Q102" s="14">
        <v>-0.03</v>
      </c>
      <c r="R102" s="14"/>
      <c r="T102" s="14">
        <v>13222923</v>
      </c>
      <c r="AA102" s="126"/>
    </row>
    <row r="103" spans="2:27" s="3" customFormat="1">
      <c r="C103" s="14"/>
      <c r="D103" s="14"/>
      <c r="E103" s="14"/>
      <c r="F103" s="14"/>
      <c r="G103" s="14"/>
      <c r="H103" s="14"/>
      <c r="I103" s="14"/>
      <c r="O103" s="3" t="s">
        <v>2026</v>
      </c>
      <c r="P103" s="14">
        <v>1909664</v>
      </c>
      <c r="Q103" s="135">
        <v>2.7199999999999998E-2</v>
      </c>
      <c r="T103" s="14">
        <v>11370609</v>
      </c>
      <c r="AA103" s="126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O104" s="3" t="s">
        <v>2027</v>
      </c>
      <c r="P104" s="136">
        <v>1859162</v>
      </c>
      <c r="Q104" s="14">
        <v>3.6299999999999999E-2</v>
      </c>
      <c r="R104" s="14"/>
      <c r="T104" s="14">
        <v>9460945</v>
      </c>
      <c r="AA104" s="126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O105" s="3" t="s">
        <v>2028</v>
      </c>
      <c r="P105" s="14">
        <v>1793956</v>
      </c>
      <c r="Q105" s="135">
        <v>7.8299999999999995E-2</v>
      </c>
      <c r="T105" s="14">
        <v>7601783</v>
      </c>
      <c r="AA105" s="126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O106" s="3" t="s">
        <v>2029</v>
      </c>
      <c r="P106" s="136">
        <v>1663618</v>
      </c>
      <c r="Q106" s="14">
        <v>2.5100000000000001E-2</v>
      </c>
      <c r="R106" s="14"/>
      <c r="T106" s="14">
        <v>5807827</v>
      </c>
      <c r="AA106" s="126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O107" s="3" t="s">
        <v>2030</v>
      </c>
      <c r="P107" s="14">
        <v>1622936</v>
      </c>
      <c r="Q107" s="135">
        <v>0.1527</v>
      </c>
      <c r="T107" s="14">
        <v>4144209</v>
      </c>
      <c r="AA107" s="126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O108" s="3" t="s">
        <v>2031</v>
      </c>
      <c r="P108" s="136">
        <v>1407975</v>
      </c>
      <c r="Q108" s="14">
        <v>0.26469999999999999</v>
      </c>
      <c r="R108" s="14"/>
      <c r="T108" s="14">
        <v>2521273</v>
      </c>
      <c r="AA108" s="126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O109" s="3" t="s">
        <v>2032</v>
      </c>
      <c r="P109" s="14">
        <v>1113298</v>
      </c>
      <c r="Q109" s="135">
        <v>-0.16389999999999999</v>
      </c>
      <c r="T109" s="14">
        <v>1113298</v>
      </c>
      <c r="AA109" s="126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O110" s="3" t="s">
        <v>2033</v>
      </c>
      <c r="P110" s="136">
        <v>1331604</v>
      </c>
      <c r="Q110" s="14">
        <v>1.89E-2</v>
      </c>
      <c r="R110" s="14"/>
      <c r="T110" s="14">
        <v>13241507</v>
      </c>
      <c r="AA110" s="126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O111" s="3" t="s">
        <v>2034</v>
      </c>
      <c r="AA111" s="126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6"/>
      <c r="Q112" s="14"/>
      <c r="R112" s="14"/>
      <c r="T112" s="14"/>
      <c r="AA112" s="126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6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6"/>
      <c r="Q114" s="14"/>
      <c r="R114" s="14"/>
      <c r="T114" s="14"/>
      <c r="AA114" s="126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6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6"/>
      <c r="Q116" s="14"/>
      <c r="R116" s="14"/>
      <c r="T116" s="14"/>
      <c r="AA116" s="126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6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6"/>
      <c r="Q118" s="14"/>
      <c r="R118" s="14"/>
      <c r="T118" s="14"/>
      <c r="AA118" s="126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6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6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6"/>
    </row>
    <row r="122" spans="2:27" s="3" customFormat="1">
      <c r="B122" s="3" t="s">
        <v>2433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6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6"/>
    </row>
    <row r="124" spans="2:27" s="3" customFormat="1">
      <c r="B124" s="3" t="s">
        <v>48</v>
      </c>
      <c r="C124" s="14" t="s">
        <v>1930</v>
      </c>
      <c r="D124" s="14" t="s">
        <v>225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6"/>
      <c r="Q124" s="14"/>
      <c r="R124" s="14"/>
      <c r="T124" s="14"/>
      <c r="AA124" s="126"/>
    </row>
    <row r="125" spans="2:27" s="3" customFormat="1">
      <c r="B125" s="3" t="s">
        <v>152</v>
      </c>
      <c r="C125" s="14">
        <v>5929</v>
      </c>
      <c r="D125" s="14">
        <v>5562</v>
      </c>
      <c r="E125" s="14">
        <v>5221</v>
      </c>
      <c r="F125" s="14">
        <v>5224</v>
      </c>
      <c r="G125" s="14">
        <v>4813</v>
      </c>
      <c r="H125" s="14">
        <v>4966</v>
      </c>
      <c r="I125" s="14">
        <v>3954</v>
      </c>
      <c r="J125" s="14">
        <v>3813</v>
      </c>
      <c r="AA125" s="126"/>
    </row>
    <row r="126" spans="2:27" s="3" customFormat="1">
      <c r="B126" s="3" t="s">
        <v>153</v>
      </c>
      <c r="C126" s="14">
        <v>398</v>
      </c>
      <c r="D126" s="14">
        <v>133</v>
      </c>
      <c r="E126" s="14">
        <v>375</v>
      </c>
      <c r="F126" s="14">
        <v>100</v>
      </c>
      <c r="G126" s="14">
        <v>137</v>
      </c>
      <c r="H126" s="14">
        <v>28</v>
      </c>
      <c r="I126" s="14">
        <v>4</v>
      </c>
      <c r="J126" s="14">
        <v>0</v>
      </c>
      <c r="P126" s="136"/>
      <c r="Q126" s="14"/>
      <c r="R126" s="14"/>
      <c r="T126" s="14"/>
      <c r="AA126" s="126"/>
    </row>
    <row r="127" spans="2:27" s="3" customFormat="1">
      <c r="B127" s="3" t="s">
        <v>190</v>
      </c>
      <c r="C127" s="14">
        <v>6920</v>
      </c>
      <c r="D127" s="14">
        <v>6755</v>
      </c>
      <c r="E127" s="14">
        <v>5090</v>
      </c>
      <c r="F127" s="14">
        <v>4412</v>
      </c>
      <c r="G127" s="14">
        <v>3836</v>
      </c>
      <c r="H127" s="14">
        <v>3481</v>
      </c>
      <c r="I127" s="14">
        <v>3133</v>
      </c>
      <c r="J127" s="14">
        <v>2626</v>
      </c>
      <c r="AA127" s="126"/>
    </row>
    <row r="128" spans="2:27" s="3" customFormat="1">
      <c r="B128" s="3" t="s">
        <v>154</v>
      </c>
      <c r="C128" s="14">
        <v>159</v>
      </c>
      <c r="D128" s="14">
        <v>241</v>
      </c>
      <c r="E128" s="14">
        <v>248</v>
      </c>
      <c r="F128" s="14">
        <v>331</v>
      </c>
      <c r="G128" s="14">
        <v>174</v>
      </c>
      <c r="H128" s="14">
        <v>209</v>
      </c>
      <c r="I128" s="14">
        <v>138</v>
      </c>
      <c r="J128" s="14">
        <v>205</v>
      </c>
      <c r="P128" s="136"/>
      <c r="Q128" s="14"/>
      <c r="R128" s="14"/>
      <c r="T128" s="14"/>
      <c r="AA128" s="126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6"/>
    </row>
    <row r="130" spans="2:27" s="3" customFormat="1">
      <c r="B130" s="3" t="s">
        <v>15</v>
      </c>
      <c r="C130" s="14">
        <v>5575</v>
      </c>
      <c r="D130" s="14">
        <v>5158</v>
      </c>
      <c r="E130" s="14">
        <v>4173</v>
      </c>
      <c r="F130" s="14">
        <v>3629</v>
      </c>
      <c r="G130" s="14">
        <v>3292</v>
      </c>
      <c r="H130" s="14">
        <v>3288</v>
      </c>
      <c r="I130" s="14">
        <v>3112</v>
      </c>
      <c r="J130" s="14">
        <v>2634</v>
      </c>
      <c r="P130" s="136"/>
      <c r="Q130" s="14"/>
      <c r="R130" s="14"/>
      <c r="T130" s="14"/>
      <c r="AA130" s="126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6"/>
    </row>
    <row r="132" spans="2:27" s="3" customFormat="1">
      <c r="B132" s="3" t="s">
        <v>155</v>
      </c>
      <c r="C132" s="14">
        <v>3</v>
      </c>
      <c r="D132" s="14">
        <v>3</v>
      </c>
      <c r="E132" s="14">
        <v>3</v>
      </c>
      <c r="F132" s="14">
        <v>3</v>
      </c>
      <c r="G132" s="14">
        <v>3</v>
      </c>
      <c r="H132" s="14">
        <v>3</v>
      </c>
      <c r="I132" s="14">
        <v>3</v>
      </c>
      <c r="J132" s="14">
        <v>3</v>
      </c>
      <c r="P132" s="136"/>
      <c r="Q132" s="14"/>
      <c r="R132" s="14"/>
      <c r="T132" s="14"/>
      <c r="AA132" s="126"/>
    </row>
    <row r="133" spans="2:27" s="3" customFormat="1">
      <c r="B133" s="3" t="s">
        <v>156</v>
      </c>
      <c r="C133" s="14">
        <v>230</v>
      </c>
      <c r="D133" s="14">
        <v>234</v>
      </c>
      <c r="E133" s="14">
        <v>200</v>
      </c>
      <c r="F133" s="14">
        <v>214</v>
      </c>
      <c r="G133" s="14">
        <v>186</v>
      </c>
      <c r="H133" s="14">
        <v>135</v>
      </c>
      <c r="I133" s="14">
        <v>115</v>
      </c>
      <c r="J133" s="14">
        <v>134</v>
      </c>
      <c r="AA133" s="126"/>
    </row>
    <row r="134" spans="2:27" s="3" customFormat="1">
      <c r="B134" s="3" t="s">
        <v>157</v>
      </c>
      <c r="C134" s="14">
        <v>19214</v>
      </c>
      <c r="D134" s="14">
        <v>18107</v>
      </c>
      <c r="E134" s="14">
        <v>15316</v>
      </c>
      <c r="F134" s="14">
        <v>13913</v>
      </c>
      <c r="G134" s="14">
        <v>12442</v>
      </c>
      <c r="H134" s="14">
        <v>12109</v>
      </c>
      <c r="I134" s="14">
        <v>10474</v>
      </c>
      <c r="J134" s="14">
        <v>9471</v>
      </c>
      <c r="P134" s="136"/>
      <c r="Q134" s="14"/>
      <c r="R134" s="14"/>
      <c r="T134" s="14"/>
      <c r="AA134" s="126"/>
    </row>
    <row r="135" spans="2:27" s="3" customFormat="1">
      <c r="B135" s="3" t="s">
        <v>158</v>
      </c>
      <c r="C135" s="14">
        <v>126</v>
      </c>
      <c r="D135" s="14">
        <v>86</v>
      </c>
      <c r="E135" s="14">
        <v>72</v>
      </c>
      <c r="F135" s="14">
        <v>59</v>
      </c>
      <c r="G135" s="14">
        <v>81</v>
      </c>
      <c r="H135" s="14">
        <v>52</v>
      </c>
      <c r="I135" s="14">
        <v>50</v>
      </c>
      <c r="J135" s="14">
        <v>46</v>
      </c>
      <c r="AA135" s="126"/>
    </row>
    <row r="136" spans="2:27" s="3" customFormat="1">
      <c r="B136" s="3" t="s">
        <v>159</v>
      </c>
      <c r="C136" s="14">
        <v>382</v>
      </c>
      <c r="D136" s="14">
        <v>382</v>
      </c>
      <c r="E136" s="14">
        <v>382</v>
      </c>
      <c r="F136" s="14">
        <v>382</v>
      </c>
      <c r="G136" s="14">
        <v>382</v>
      </c>
      <c r="H136" s="14">
        <v>382</v>
      </c>
      <c r="I136" s="14">
        <v>382</v>
      </c>
      <c r="J136" s="14">
        <v>382</v>
      </c>
      <c r="P136" s="136"/>
      <c r="Q136" s="14"/>
      <c r="R136" s="14"/>
      <c r="T136" s="14"/>
      <c r="AA136" s="126"/>
    </row>
    <row r="137" spans="2:27" s="3" customFormat="1">
      <c r="B137" s="3" t="s">
        <v>160</v>
      </c>
      <c r="C137" s="14">
        <v>1420</v>
      </c>
      <c r="D137" s="14">
        <v>1386</v>
      </c>
      <c r="E137" s="14">
        <v>1395</v>
      </c>
      <c r="F137" s="14">
        <v>1403</v>
      </c>
      <c r="G137" s="14">
        <v>1376</v>
      </c>
      <c r="H137" s="14">
        <v>1353</v>
      </c>
      <c r="I137" s="14">
        <v>1368</v>
      </c>
      <c r="J137" s="14">
        <v>1375</v>
      </c>
      <c r="AA137" s="126"/>
    </row>
    <row r="138" spans="2:27" s="3" customFormat="1">
      <c r="B138" s="3" t="s">
        <v>161</v>
      </c>
      <c r="C138" s="14">
        <v>2142</v>
      </c>
      <c r="D138" s="14">
        <v>2036</v>
      </c>
      <c r="E138" s="14">
        <v>1800</v>
      </c>
      <c r="F138" s="14">
        <v>1784</v>
      </c>
      <c r="G138" s="14">
        <v>1674</v>
      </c>
      <c r="H138" s="14">
        <v>1794</v>
      </c>
      <c r="I138" s="14">
        <v>1773</v>
      </c>
      <c r="J138" s="14">
        <v>1743</v>
      </c>
      <c r="P138" s="136"/>
      <c r="Q138" s="14"/>
      <c r="R138" s="14"/>
      <c r="T138" s="14"/>
      <c r="AA138" s="126"/>
    </row>
    <row r="139" spans="2:27" s="3" customFormat="1">
      <c r="B139" s="3" t="s">
        <v>162</v>
      </c>
      <c r="C139" s="14">
        <v>1211</v>
      </c>
      <c r="D139" s="14">
        <v>1157</v>
      </c>
      <c r="E139" s="14">
        <v>1118</v>
      </c>
      <c r="F139" s="14">
        <v>1104</v>
      </c>
      <c r="G139" s="14">
        <v>1062</v>
      </c>
      <c r="H139" s="14">
        <v>1032</v>
      </c>
      <c r="I139" s="14">
        <v>994</v>
      </c>
      <c r="J139" s="14">
        <v>960</v>
      </c>
      <c r="AA139" s="126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6"/>
      <c r="Q140" s="14"/>
      <c r="R140" s="14"/>
      <c r="T140" s="14"/>
      <c r="AA140" s="126"/>
    </row>
    <row r="141" spans="2:27" s="3" customFormat="1">
      <c r="B141" s="3" t="s">
        <v>164</v>
      </c>
      <c r="C141" s="14">
        <v>-1684</v>
      </c>
      <c r="D141" s="14">
        <v>-1526</v>
      </c>
      <c r="E141" s="14">
        <v>-1435</v>
      </c>
      <c r="F141" s="14">
        <v>-1354</v>
      </c>
      <c r="G141" s="14">
        <v>-1287</v>
      </c>
      <c r="H141" s="14">
        <v>-1347</v>
      </c>
      <c r="I141" s="14">
        <v>-1284</v>
      </c>
      <c r="J141" s="14">
        <v>-1218</v>
      </c>
      <c r="AA141" s="126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6"/>
      <c r="Q142" s="14"/>
      <c r="R142" s="14"/>
      <c r="T142" s="14"/>
      <c r="AA142" s="126"/>
    </row>
    <row r="143" spans="2:27" s="3" customFormat="1">
      <c r="B143" s="3" t="s">
        <v>166</v>
      </c>
      <c r="C143" s="14">
        <v>3</v>
      </c>
      <c r="D143" s="14">
        <v>1</v>
      </c>
      <c r="E143" s="14">
        <v>1</v>
      </c>
      <c r="F143" s="14">
        <v>2</v>
      </c>
      <c r="G143" s="14">
        <v>20</v>
      </c>
      <c r="H143" s="14">
        <v>7</v>
      </c>
      <c r="I143" s="14">
        <v>9</v>
      </c>
      <c r="J143" s="14">
        <v>3</v>
      </c>
      <c r="AA143" s="126"/>
    </row>
    <row r="144" spans="2:27" s="3" customFormat="1">
      <c r="B144" s="3" t="s">
        <v>167</v>
      </c>
      <c r="C144" s="14">
        <v>3474</v>
      </c>
      <c r="D144" s="14">
        <v>3435</v>
      </c>
      <c r="E144" s="14">
        <v>3261</v>
      </c>
      <c r="F144" s="14">
        <v>3321</v>
      </c>
      <c r="G144" s="14">
        <v>3227</v>
      </c>
      <c r="H144" s="14">
        <v>3222</v>
      </c>
      <c r="I144" s="14">
        <v>3242</v>
      </c>
      <c r="J144" s="14">
        <v>3245</v>
      </c>
      <c r="P144" s="136"/>
      <c r="Q144" s="14"/>
      <c r="R144" s="14"/>
      <c r="T144" s="14"/>
      <c r="AA144" s="126"/>
    </row>
    <row r="145" spans="2:27" s="3" customFormat="1">
      <c r="B145" s="3" t="s">
        <v>168</v>
      </c>
      <c r="C145" s="14">
        <v>226</v>
      </c>
      <c r="D145" s="14">
        <v>198</v>
      </c>
      <c r="E145" s="14">
        <v>202</v>
      </c>
      <c r="F145" s="14">
        <v>185</v>
      </c>
      <c r="G145" s="14">
        <v>148</v>
      </c>
      <c r="H145" s="14">
        <v>144</v>
      </c>
      <c r="I145" s="14">
        <v>119</v>
      </c>
      <c r="J145" s="14">
        <v>114</v>
      </c>
      <c r="AA145" s="126"/>
    </row>
    <row r="146" spans="2:27" s="3" customFormat="1">
      <c r="B146" s="3" t="s">
        <v>169</v>
      </c>
      <c r="C146" s="14">
        <v>259</v>
      </c>
      <c r="D146" s="14">
        <v>196</v>
      </c>
      <c r="E146" s="14">
        <v>129</v>
      </c>
      <c r="F146" s="14">
        <v>132</v>
      </c>
      <c r="G146" s="14">
        <v>135</v>
      </c>
      <c r="H146" s="14">
        <v>136</v>
      </c>
      <c r="I146" s="14">
        <v>138</v>
      </c>
      <c r="J146" s="14">
        <v>139</v>
      </c>
      <c r="P146" s="136"/>
      <c r="Q146" s="14"/>
      <c r="R146" s="14"/>
      <c r="T146" s="14"/>
      <c r="AA146" s="126"/>
    </row>
    <row r="147" spans="2:27" s="3" customFormat="1">
      <c r="B147" s="3" t="s">
        <v>170</v>
      </c>
      <c r="C147" s="14">
        <v>321</v>
      </c>
      <c r="D147" s="14">
        <v>307</v>
      </c>
      <c r="E147" s="14">
        <v>384</v>
      </c>
      <c r="F147" s="14">
        <v>379</v>
      </c>
      <c r="G147" s="14">
        <v>388</v>
      </c>
      <c r="H147" s="14">
        <v>379</v>
      </c>
      <c r="I147" s="14">
        <v>361</v>
      </c>
      <c r="J147" s="14">
        <v>378</v>
      </c>
      <c r="AA147" s="126"/>
    </row>
    <row r="148" spans="2:27" s="3" customFormat="1">
      <c r="B148" s="3" t="s">
        <v>171</v>
      </c>
      <c r="C148" s="14">
        <v>858</v>
      </c>
      <c r="D148" s="14">
        <v>701</v>
      </c>
      <c r="E148" s="14">
        <v>715</v>
      </c>
      <c r="F148" s="14">
        <v>695</v>
      </c>
      <c r="G148" s="14">
        <v>672</v>
      </c>
      <c r="H148" s="14">
        <v>659</v>
      </c>
      <c r="I148" s="14">
        <v>618</v>
      </c>
      <c r="J148" s="14">
        <v>630</v>
      </c>
      <c r="P148" s="136"/>
      <c r="Q148" s="14"/>
      <c r="R148" s="14"/>
      <c r="T148" s="14"/>
      <c r="AA148" s="126"/>
    </row>
    <row r="149" spans="2:27" s="3" customFormat="1">
      <c r="B149" s="3" t="s">
        <v>18</v>
      </c>
      <c r="C149" s="14">
        <v>23673</v>
      </c>
      <c r="D149" s="14">
        <v>22328</v>
      </c>
      <c r="E149" s="14">
        <v>19363</v>
      </c>
      <c r="F149" s="14">
        <v>17988</v>
      </c>
      <c r="G149" s="14">
        <v>16421</v>
      </c>
      <c r="H149" s="14">
        <v>16041</v>
      </c>
      <c r="I149" s="14">
        <v>14385</v>
      </c>
      <c r="J149" s="14">
        <v>13393</v>
      </c>
      <c r="AA149" s="126"/>
    </row>
    <row r="150" spans="2:27" s="3" customFormat="1">
      <c r="B150" s="3" t="s">
        <v>193</v>
      </c>
      <c r="C150" s="14">
        <v>3338</v>
      </c>
      <c r="D150" s="14">
        <v>3688</v>
      </c>
      <c r="E150" s="14">
        <v>3082</v>
      </c>
      <c r="F150" s="14">
        <v>2542</v>
      </c>
      <c r="G150" s="14">
        <v>2225</v>
      </c>
      <c r="H150" s="14">
        <v>2221</v>
      </c>
      <c r="I150" s="14">
        <v>1615</v>
      </c>
      <c r="J150" s="14">
        <v>987</v>
      </c>
      <c r="P150" s="136"/>
      <c r="Q150" s="14"/>
      <c r="R150" s="14"/>
      <c r="T150" s="14"/>
      <c r="AA150" s="126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6"/>
    </row>
    <row r="152" spans="2:27" s="3" customFormat="1">
      <c r="B152" s="3" t="s">
        <v>16</v>
      </c>
      <c r="C152" s="14">
        <v>9995</v>
      </c>
      <c r="D152" s="14">
        <v>8710</v>
      </c>
      <c r="E152" s="14">
        <v>7021</v>
      </c>
      <c r="F152" s="14">
        <v>6573</v>
      </c>
      <c r="G152" s="14">
        <v>5951</v>
      </c>
      <c r="H152" s="14">
        <v>5319</v>
      </c>
      <c r="I152" s="14">
        <v>4839</v>
      </c>
      <c r="J152" s="14">
        <v>4622</v>
      </c>
      <c r="P152" s="136"/>
      <c r="Q152" s="14"/>
      <c r="R152" s="14"/>
      <c r="T152" s="14"/>
      <c r="AA152" s="126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6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6"/>
      <c r="Q154" s="14"/>
      <c r="R154" s="14"/>
      <c r="T154" s="14"/>
      <c r="AA154" s="126"/>
    </row>
    <row r="155" spans="2:27" s="3" customFormat="1">
      <c r="B155" s="3" t="s">
        <v>174</v>
      </c>
      <c r="C155" s="14">
        <v>2553</v>
      </c>
      <c r="D155" s="14">
        <v>2939</v>
      </c>
      <c r="E155" s="14">
        <v>1761</v>
      </c>
      <c r="F155" s="14">
        <v>1688</v>
      </c>
      <c r="G155" s="14">
        <v>1499</v>
      </c>
      <c r="H155" s="14">
        <v>2150</v>
      </c>
      <c r="I155" s="14">
        <v>1242</v>
      </c>
      <c r="J155" s="14">
        <v>1279</v>
      </c>
      <c r="AA155" s="126"/>
    </row>
    <row r="156" spans="2:27" s="3" customFormat="1">
      <c r="B156" s="3" t="s">
        <v>175</v>
      </c>
      <c r="C156" s="14">
        <v>182</v>
      </c>
      <c r="D156" s="14">
        <v>172</v>
      </c>
      <c r="E156" s="14">
        <v>196</v>
      </c>
      <c r="F156" s="14">
        <v>313</v>
      </c>
      <c r="G156" s="14">
        <v>189</v>
      </c>
      <c r="H156" s="14">
        <v>229</v>
      </c>
      <c r="I156" s="14">
        <v>208</v>
      </c>
      <c r="J156" s="14">
        <v>231</v>
      </c>
      <c r="P156" s="136"/>
      <c r="Q156" s="14"/>
      <c r="R156" s="14"/>
      <c r="T156" s="14"/>
      <c r="AA156" s="126"/>
    </row>
    <row r="157" spans="2:27" s="3" customFormat="1">
      <c r="B157" s="3" t="s">
        <v>176</v>
      </c>
      <c r="C157" s="14">
        <v>36</v>
      </c>
      <c r="D157" s="14">
        <v>244</v>
      </c>
      <c r="E157" s="14">
        <v>245</v>
      </c>
      <c r="F157" s="14">
        <v>263</v>
      </c>
      <c r="G157" s="14">
        <v>339</v>
      </c>
      <c r="H157" s="14">
        <v>225</v>
      </c>
      <c r="I157" s="14">
        <v>224</v>
      </c>
      <c r="J157" s="14">
        <v>464</v>
      </c>
      <c r="AA157" s="126"/>
    </row>
    <row r="158" spans="2:27" s="3" customFormat="1">
      <c r="B158" s="3" t="s">
        <v>177</v>
      </c>
      <c r="C158" s="14">
        <v>352</v>
      </c>
      <c r="D158" s="14">
        <v>434</v>
      </c>
      <c r="E158" s="14">
        <v>293</v>
      </c>
      <c r="F158" s="14">
        <v>272</v>
      </c>
      <c r="G158" s="14">
        <v>315</v>
      </c>
      <c r="H158" s="14">
        <v>316</v>
      </c>
      <c r="I158" s="14">
        <v>311</v>
      </c>
      <c r="J158" s="14">
        <v>271</v>
      </c>
      <c r="P158" s="136"/>
      <c r="Q158" s="14"/>
      <c r="R158" s="14"/>
      <c r="T158" s="14"/>
      <c r="AA158" s="126"/>
    </row>
    <row r="159" spans="2:27" s="3" customFormat="1">
      <c r="B159" s="3" t="s">
        <v>178</v>
      </c>
      <c r="C159" s="14">
        <v>16650</v>
      </c>
      <c r="D159" s="14">
        <v>16200</v>
      </c>
      <c r="E159" s="14">
        <v>12598</v>
      </c>
      <c r="F159" s="14">
        <v>11652</v>
      </c>
      <c r="G159" s="14">
        <v>10518</v>
      </c>
      <c r="H159" s="14">
        <v>10463</v>
      </c>
      <c r="I159" s="14">
        <v>8459</v>
      </c>
      <c r="J159" s="14">
        <v>7887</v>
      </c>
      <c r="AA159" s="126"/>
    </row>
    <row r="160" spans="2:27" s="3" customFormat="1">
      <c r="B160" s="3" t="s">
        <v>179</v>
      </c>
      <c r="C160" s="14">
        <v>195</v>
      </c>
      <c r="D160" s="14">
        <v>170</v>
      </c>
      <c r="E160" s="14">
        <v>173</v>
      </c>
      <c r="F160" s="14">
        <v>196</v>
      </c>
      <c r="G160" s="14">
        <v>200</v>
      </c>
      <c r="H160" s="14">
        <v>393</v>
      </c>
      <c r="I160" s="14">
        <v>410</v>
      </c>
      <c r="J160" s="14">
        <v>727</v>
      </c>
      <c r="P160" s="136"/>
      <c r="Q160" s="14"/>
      <c r="R160" s="14"/>
      <c r="T160" s="14"/>
      <c r="AA160" s="126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6"/>
    </row>
    <row r="162" spans="2:27" s="3" customFormat="1">
      <c r="B162" s="3" t="s">
        <v>181</v>
      </c>
      <c r="C162" s="14">
        <v>39</v>
      </c>
      <c r="D162" s="14">
        <v>39</v>
      </c>
      <c r="E162" s="14">
        <v>40</v>
      </c>
      <c r="F162" s="14">
        <v>40</v>
      </c>
      <c r="G162" s="14">
        <v>34</v>
      </c>
      <c r="H162" s="14">
        <v>34</v>
      </c>
      <c r="I162" s="14">
        <v>35</v>
      </c>
      <c r="J162" s="14">
        <v>35</v>
      </c>
      <c r="P162" s="136"/>
      <c r="Q162" s="14"/>
      <c r="R162" s="14"/>
      <c r="T162" s="14"/>
      <c r="AA162" s="126"/>
    </row>
    <row r="163" spans="2:27" s="3" customFormat="1">
      <c r="B163" s="3" t="s">
        <v>182</v>
      </c>
      <c r="C163" s="14">
        <v>81</v>
      </c>
      <c r="D163" s="14">
        <v>38</v>
      </c>
      <c r="E163" s="14">
        <v>78</v>
      </c>
      <c r="F163" s="14">
        <v>31</v>
      </c>
      <c r="G163" s="14">
        <v>38</v>
      </c>
      <c r="H163" s="14">
        <v>19</v>
      </c>
      <c r="I163" s="14">
        <v>15</v>
      </c>
      <c r="J163" s="14">
        <v>15</v>
      </c>
      <c r="AA163" s="126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6"/>
      <c r="Q164" s="14"/>
      <c r="R164" s="14"/>
      <c r="T164" s="14"/>
      <c r="AA164" s="126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6"/>
    </row>
    <row r="166" spans="2:27" s="3" customFormat="1">
      <c r="B166" s="3" t="s">
        <v>185</v>
      </c>
      <c r="C166" s="14">
        <v>9</v>
      </c>
      <c r="D166" s="14">
        <v>9</v>
      </c>
      <c r="E166" s="14">
        <v>10</v>
      </c>
      <c r="F166" s="14">
        <v>11</v>
      </c>
      <c r="G166" s="14">
        <v>9</v>
      </c>
      <c r="H166" s="14">
        <v>9</v>
      </c>
      <c r="I166" s="14">
        <v>1</v>
      </c>
      <c r="J166" s="14">
        <v>1</v>
      </c>
      <c r="P166" s="136"/>
      <c r="Q166" s="14"/>
      <c r="R166" s="14"/>
      <c r="T166" s="14"/>
      <c r="AA166" s="126"/>
    </row>
    <row r="167" spans="2:27" s="3" customFormat="1">
      <c r="B167" s="3" t="s">
        <v>186</v>
      </c>
      <c r="C167" s="14">
        <v>129</v>
      </c>
      <c r="D167" s="14">
        <v>86</v>
      </c>
      <c r="E167" s="14">
        <v>128</v>
      </c>
      <c r="F167" s="14">
        <v>82</v>
      </c>
      <c r="G167" s="14">
        <v>81</v>
      </c>
      <c r="H167" s="14">
        <v>62</v>
      </c>
      <c r="I167" s="14">
        <v>51</v>
      </c>
      <c r="J167" s="14">
        <v>51</v>
      </c>
      <c r="AA167" s="126"/>
    </row>
    <row r="168" spans="2:27" s="3" customFormat="1">
      <c r="B168" s="3" t="s">
        <v>17</v>
      </c>
      <c r="C168" s="14">
        <v>16974</v>
      </c>
      <c r="D168" s="14">
        <v>16456</v>
      </c>
      <c r="E168" s="14">
        <v>12899</v>
      </c>
      <c r="F168" s="14">
        <v>11929</v>
      </c>
      <c r="G168" s="14">
        <v>10799</v>
      </c>
      <c r="H168" s="14">
        <v>10918</v>
      </c>
      <c r="I168" s="14">
        <v>8920</v>
      </c>
      <c r="J168" s="14">
        <v>8665</v>
      </c>
      <c r="P168" s="136"/>
      <c r="Q168" s="14"/>
      <c r="R168" s="14"/>
      <c r="T168" s="14"/>
      <c r="AA168" s="126"/>
    </row>
    <row r="169" spans="2:27" s="3" customFormat="1">
      <c r="B169" s="3" t="s">
        <v>187</v>
      </c>
      <c r="C169" s="14">
        <v>6699</v>
      </c>
      <c r="D169" s="14">
        <v>5872</v>
      </c>
      <c r="E169" s="14">
        <v>6464</v>
      </c>
      <c r="F169" s="14">
        <v>6059</v>
      </c>
      <c r="G169" s="14">
        <v>5623</v>
      </c>
      <c r="H169" s="14">
        <v>5123</v>
      </c>
      <c r="I169" s="14">
        <v>5465</v>
      </c>
      <c r="J169" s="14">
        <v>4728</v>
      </c>
      <c r="AA169" s="126"/>
    </row>
    <row r="170" spans="2:27" s="3" customFormat="1">
      <c r="B170" s="3" t="s">
        <v>195</v>
      </c>
      <c r="C170" s="14">
        <v>2409</v>
      </c>
      <c r="D170" s="14">
        <v>2310</v>
      </c>
      <c r="E170" s="14">
        <v>2301</v>
      </c>
      <c r="F170" s="14">
        <v>2292</v>
      </c>
      <c r="G170" s="14">
        <v>2260</v>
      </c>
      <c r="H170" s="14">
        <v>2258</v>
      </c>
      <c r="I170" s="14">
        <v>2177</v>
      </c>
      <c r="J170" s="14">
        <v>2052</v>
      </c>
      <c r="P170" s="136"/>
      <c r="Q170" s="14"/>
      <c r="R170" s="14"/>
      <c r="T170" s="14"/>
      <c r="AA170" s="126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6"/>
    </row>
    <row r="172" spans="2:27" s="3" customFormat="1">
      <c r="B172" s="3" t="s">
        <v>197</v>
      </c>
      <c r="C172" s="14">
        <v>1516</v>
      </c>
      <c r="D172" s="14">
        <v>1426</v>
      </c>
      <c r="E172" s="14">
        <v>1419</v>
      </c>
      <c r="F172" s="14">
        <v>1391</v>
      </c>
      <c r="G172" s="14">
        <v>1332</v>
      </c>
      <c r="H172" s="14">
        <v>1272</v>
      </c>
      <c r="I172" s="14">
        <v>1261</v>
      </c>
      <c r="J172" s="14">
        <v>853</v>
      </c>
      <c r="P172" s="136"/>
      <c r="Q172" s="14"/>
      <c r="R172" s="14"/>
      <c r="T172" s="14"/>
      <c r="AA172" s="126"/>
    </row>
    <row r="173" spans="2:27" s="3" customFormat="1">
      <c r="B173" s="3" t="s">
        <v>198</v>
      </c>
      <c r="C173" s="14">
        <v>618</v>
      </c>
      <c r="D173" s="14">
        <v>618</v>
      </c>
      <c r="E173" s="14">
        <v>523</v>
      </c>
      <c r="F173" s="14">
        <v>523</v>
      </c>
      <c r="G173" s="14">
        <v>523</v>
      </c>
      <c r="H173" s="14">
        <v>523</v>
      </c>
      <c r="I173" s="14">
        <v>438</v>
      </c>
      <c r="J173" s="14">
        <v>438</v>
      </c>
      <c r="AA173" s="126"/>
    </row>
    <row r="174" spans="2:27" s="3" customFormat="1">
      <c r="B174" s="3" t="s">
        <v>199</v>
      </c>
      <c r="C174" s="14">
        <v>132</v>
      </c>
      <c r="D174" s="14">
        <v>132</v>
      </c>
      <c r="E174" s="14">
        <v>132</v>
      </c>
      <c r="F174" s="14">
        <v>132</v>
      </c>
      <c r="G174" s="14">
        <v>132</v>
      </c>
      <c r="H174" s="14">
        <v>132</v>
      </c>
      <c r="I174" s="14">
        <v>132</v>
      </c>
      <c r="J174" s="14">
        <v>132</v>
      </c>
      <c r="P174" s="136"/>
      <c r="Q174" s="14"/>
      <c r="R174" s="14"/>
      <c r="T174" s="14"/>
      <c r="AA174" s="126"/>
    </row>
    <row r="175" spans="2:27" s="3" customFormat="1">
      <c r="B175" s="3" t="s">
        <v>200</v>
      </c>
      <c r="C175" s="14">
        <v>1531</v>
      </c>
      <c r="D175" s="14">
        <v>1090</v>
      </c>
      <c r="E175" s="14">
        <v>1543</v>
      </c>
      <c r="F175" s="14">
        <v>1375</v>
      </c>
      <c r="G175" s="14">
        <v>1126</v>
      </c>
      <c r="H175" s="14">
        <v>887</v>
      </c>
      <c r="I175" s="14">
        <v>1306</v>
      </c>
      <c r="J175" s="14">
        <v>1122</v>
      </c>
      <c r="AA175" s="126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6"/>
      <c r="Q176" s="14"/>
      <c r="R176" s="14"/>
      <c r="T176" s="14"/>
      <c r="AA176" s="126"/>
    </row>
    <row r="177" spans="2:27" s="3" customFormat="1">
      <c r="B177" s="3" t="s">
        <v>188</v>
      </c>
      <c r="C177" s="14">
        <v>2</v>
      </c>
      <c r="D177" s="14">
        <v>4</v>
      </c>
      <c r="E177" s="14">
        <v>5</v>
      </c>
      <c r="F177" s="14">
        <v>6</v>
      </c>
      <c r="G177" s="14">
        <v>0</v>
      </c>
      <c r="H177" s="14">
        <v>0</v>
      </c>
      <c r="I177" s="14">
        <v>0</v>
      </c>
      <c r="J177" s="14">
        <v>0</v>
      </c>
      <c r="AA177" s="126"/>
    </row>
    <row r="178" spans="2:27" s="3" customFormat="1">
      <c r="B178" s="3" t="s">
        <v>189</v>
      </c>
      <c r="C178" s="14">
        <v>23673</v>
      </c>
      <c r="D178" s="14">
        <v>22328</v>
      </c>
      <c r="E178" s="14">
        <v>19363</v>
      </c>
      <c r="F178" s="14">
        <v>17988</v>
      </c>
      <c r="G178" s="14">
        <v>16421</v>
      </c>
      <c r="H178" s="14">
        <v>16041</v>
      </c>
      <c r="I178" s="14">
        <v>14385</v>
      </c>
      <c r="J178" s="14">
        <v>13393</v>
      </c>
      <c r="P178" s="136"/>
      <c r="Q178" s="14"/>
      <c r="R178" s="14"/>
      <c r="T178" s="14"/>
      <c r="AA178" s="126"/>
    </row>
    <row r="179" spans="2:27" s="3" customFormat="1">
      <c r="B179" s="3" t="s">
        <v>110</v>
      </c>
      <c r="D179" s="14"/>
      <c r="E179" s="14"/>
      <c r="G179" s="14"/>
      <c r="J179" s="14"/>
      <c r="AA179" s="126"/>
    </row>
    <row r="180" spans="2:27" s="3" customFormat="1">
      <c r="B180" s="3" t="s">
        <v>111</v>
      </c>
      <c r="J180" s="14"/>
      <c r="P180" s="136"/>
      <c r="Q180" s="14"/>
      <c r="R180" s="14"/>
      <c r="T180" s="14"/>
      <c r="AA180" s="126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6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6"/>
      <c r="Q182" s="14"/>
      <c r="R182" s="14"/>
      <c r="T182" s="14"/>
      <c r="AA182" s="126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6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6"/>
      <c r="Q184" s="14"/>
      <c r="R184" s="14"/>
      <c r="T184" s="14"/>
      <c r="AA184" s="126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6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6"/>
      <c r="Q186" s="14"/>
      <c r="R186" s="14"/>
      <c r="T186" s="14"/>
      <c r="AA186" s="126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6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6"/>
      <c r="Q188" s="14"/>
      <c r="R188" s="14"/>
      <c r="T188" s="14"/>
      <c r="AA188" s="126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6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6"/>
      <c r="Q190" s="14"/>
      <c r="R190" s="14"/>
      <c r="T190" s="14"/>
      <c r="AA190" s="126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6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6"/>
      <c r="Q192" s="14"/>
      <c r="R192" s="14"/>
      <c r="T192" s="14"/>
      <c r="AA192" s="126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6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6"/>
      <c r="Q194" s="14"/>
      <c r="R194" s="14"/>
      <c r="T194" s="14"/>
      <c r="AA194" s="126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6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6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6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6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6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6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6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6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6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6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2432</v>
      </c>
      <c r="C221" s="14"/>
      <c r="D221" s="14"/>
      <c r="E221" s="14"/>
      <c r="F221" s="14"/>
      <c r="G221" s="14"/>
      <c r="H221" s="14"/>
      <c r="I221" s="14"/>
      <c r="J221" s="14"/>
      <c r="P221" s="136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1930</v>
      </c>
      <c r="D223" s="14" t="s">
        <v>225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6"/>
      <c r="W223" s="14"/>
      <c r="AA223" s="62"/>
    </row>
    <row r="224" spans="2:27" s="3" customFormat="1">
      <c r="B224" s="3" t="s">
        <v>112</v>
      </c>
      <c r="C224" s="14">
        <v>440</v>
      </c>
      <c r="D224" s="14">
        <v>328</v>
      </c>
      <c r="E224" s="14">
        <v>167</v>
      </c>
      <c r="F224" s="14">
        <v>254</v>
      </c>
      <c r="G224" s="14">
        <v>239</v>
      </c>
      <c r="H224" s="14">
        <v>272</v>
      </c>
      <c r="I224" s="14">
        <v>184</v>
      </c>
      <c r="J224" s="14">
        <v>222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6"/>
      <c r="W225" s="14"/>
      <c r="AA225" s="62"/>
    </row>
    <row r="226" spans="2:27" s="3" customFormat="1">
      <c r="B226" s="3" t="s">
        <v>114</v>
      </c>
      <c r="C226" s="14">
        <v>113</v>
      </c>
      <c r="D226" s="14">
        <v>105</v>
      </c>
      <c r="E226" s="14">
        <v>103</v>
      </c>
      <c r="F226" s="14">
        <v>92</v>
      </c>
      <c r="G226" s="14">
        <v>89</v>
      </c>
      <c r="H226" s="14">
        <v>85</v>
      </c>
      <c r="I226" s="14">
        <v>82</v>
      </c>
      <c r="J226" s="14">
        <v>78</v>
      </c>
      <c r="AA226" s="62"/>
    </row>
    <row r="227" spans="2:27" s="3" customFormat="1">
      <c r="B227" s="3" t="s">
        <v>115</v>
      </c>
      <c r="C227" s="14">
        <v>15</v>
      </c>
      <c r="D227" s="14">
        <v>12</v>
      </c>
      <c r="E227" s="14">
        <v>14</v>
      </c>
      <c r="F227" s="14">
        <v>14</v>
      </c>
      <c r="G227" s="14">
        <v>14</v>
      </c>
      <c r="H227" s="14">
        <v>15</v>
      </c>
      <c r="I227" s="14">
        <v>15</v>
      </c>
      <c r="J227" s="14">
        <v>18</v>
      </c>
      <c r="P227" s="136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2</v>
      </c>
      <c r="P229" s="136"/>
      <c r="W229" s="14"/>
      <c r="AA229" s="62"/>
    </row>
    <row r="230" spans="2:27" s="3" customFormat="1">
      <c r="B230" s="3" t="s">
        <v>118</v>
      </c>
      <c r="C230" s="14">
        <v>2</v>
      </c>
      <c r="D230" s="14">
        <v>0</v>
      </c>
      <c r="E230" s="14">
        <v>0</v>
      </c>
      <c r="F230" s="14">
        <v>0</v>
      </c>
      <c r="G230" s="14">
        <v>1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6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2</v>
      </c>
      <c r="F232" s="14">
        <v>-3</v>
      </c>
      <c r="G232" s="14">
        <v>26</v>
      </c>
      <c r="H232" s="14">
        <v>0</v>
      </c>
      <c r="I232" s="14">
        <v>0</v>
      </c>
      <c r="J232" s="14">
        <v>4</v>
      </c>
      <c r="AA232" s="62"/>
    </row>
    <row r="233" spans="2:27" s="3" customFormat="1">
      <c r="B233" s="3" t="s">
        <v>121</v>
      </c>
      <c r="C233" s="14">
        <v>-13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6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-165</v>
      </c>
      <c r="D235" s="14">
        <v>-1665</v>
      </c>
      <c r="E235" s="14">
        <v>-678</v>
      </c>
      <c r="F235" s="14">
        <v>-576</v>
      </c>
      <c r="G235" s="14">
        <v>-355</v>
      </c>
      <c r="H235" s="14">
        <v>-348</v>
      </c>
      <c r="I235" s="14">
        <v>-507</v>
      </c>
      <c r="J235" s="14">
        <v>-325</v>
      </c>
      <c r="P235" s="67"/>
      <c r="W235" s="46"/>
    </row>
    <row r="236" spans="2:27">
      <c r="B236" s="3" t="s">
        <v>124</v>
      </c>
      <c r="C236" s="14">
        <v>-417</v>
      </c>
      <c r="D236" s="14">
        <v>-985</v>
      </c>
      <c r="E236" s="14">
        <v>-544</v>
      </c>
      <c r="F236" s="14">
        <v>-338</v>
      </c>
      <c r="G236" s="14">
        <v>-4</v>
      </c>
      <c r="H236" s="14">
        <v>-176</v>
      </c>
      <c r="I236" s="14">
        <v>-478</v>
      </c>
      <c r="J236" s="14">
        <v>-199</v>
      </c>
    </row>
    <row r="237" spans="2:27">
      <c r="B237" s="3" t="s">
        <v>125</v>
      </c>
      <c r="C237" s="14">
        <v>1285</v>
      </c>
      <c r="D237" s="14">
        <v>1689</v>
      </c>
      <c r="E237" s="14">
        <v>448</v>
      </c>
      <c r="F237" s="14">
        <v>622</v>
      </c>
      <c r="G237" s="14">
        <v>632</v>
      </c>
      <c r="H237" s="14">
        <v>481</v>
      </c>
      <c r="I237" s="14">
        <v>217</v>
      </c>
      <c r="J237" s="14">
        <v>252</v>
      </c>
      <c r="P237" s="67"/>
      <c r="W237" s="46"/>
    </row>
    <row r="238" spans="2:27">
      <c r="B238" s="3" t="s">
        <v>126</v>
      </c>
      <c r="C238" s="14">
        <v>302</v>
      </c>
      <c r="D238" s="14">
        <v>570</v>
      </c>
      <c r="E238" s="14">
        <v>57</v>
      </c>
      <c r="F238" s="14">
        <v>49</v>
      </c>
      <c r="G238" s="14">
        <v>-98</v>
      </c>
      <c r="H238" s="14">
        <v>215</v>
      </c>
      <c r="I238" s="14">
        <v>94</v>
      </c>
      <c r="J238" s="14">
        <v>119</v>
      </c>
    </row>
    <row r="239" spans="2:27">
      <c r="B239" s="3" t="s">
        <v>19</v>
      </c>
      <c r="C239" s="14">
        <v>1568</v>
      </c>
      <c r="D239" s="14">
        <v>74</v>
      </c>
      <c r="E239" s="14">
        <v>-442</v>
      </c>
      <c r="F239" s="14">
        <v>104</v>
      </c>
      <c r="G239" s="14">
        <v>526</v>
      </c>
      <c r="H239" s="14">
        <v>543</v>
      </c>
      <c r="I239" s="14">
        <v>-393</v>
      </c>
      <c r="J239" s="14">
        <v>172</v>
      </c>
      <c r="P239" s="67"/>
      <c r="W239" s="46"/>
    </row>
    <row r="240" spans="2:27">
      <c r="B240" s="3" t="s">
        <v>127</v>
      </c>
      <c r="C240" s="14">
        <v>-47</v>
      </c>
      <c r="D240" s="14">
        <v>0</v>
      </c>
      <c r="E240" s="14">
        <v>0</v>
      </c>
      <c r="F240" s="14">
        <v>25</v>
      </c>
      <c r="G240" s="14">
        <v>0</v>
      </c>
      <c r="H240" s="14">
        <v>0</v>
      </c>
      <c r="I240" s="14">
        <v>-3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4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24</v>
      </c>
      <c r="G242" s="14">
        <v>-24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3</v>
      </c>
      <c r="D243" s="14">
        <v>3</v>
      </c>
      <c r="E243" s="14">
        <v>2</v>
      </c>
      <c r="F243" s="14">
        <v>19</v>
      </c>
      <c r="G243" s="14">
        <v>42</v>
      </c>
      <c r="H243" s="14">
        <v>2</v>
      </c>
      <c r="I243" s="14">
        <v>3</v>
      </c>
      <c r="J243" s="14">
        <v>-1</v>
      </c>
      <c r="P243" s="67"/>
      <c r="W243" s="46"/>
    </row>
    <row r="244" spans="2:23">
      <c r="B244" s="3" t="s">
        <v>20</v>
      </c>
      <c r="C244" s="14">
        <v>-90</v>
      </c>
      <c r="D244" s="14">
        <v>-229</v>
      </c>
      <c r="E244" s="14">
        <v>-67</v>
      </c>
      <c r="F244" s="14">
        <v>-135</v>
      </c>
      <c r="G244" s="14">
        <v>-137</v>
      </c>
      <c r="H244" s="14">
        <v>-116</v>
      </c>
      <c r="I244" s="14">
        <v>-90</v>
      </c>
      <c r="J244" s="14">
        <v>-67</v>
      </c>
    </row>
    <row r="245" spans="2:23">
      <c r="B245" s="3" t="s">
        <v>130</v>
      </c>
      <c r="C245" s="14">
        <v>-40</v>
      </c>
      <c r="D245" s="14">
        <v>-75</v>
      </c>
      <c r="E245" s="14">
        <v>-12</v>
      </c>
      <c r="F245" s="14">
        <v>-3</v>
      </c>
      <c r="G245" s="14">
        <v>-2</v>
      </c>
      <c r="H245" s="14">
        <v>2</v>
      </c>
      <c r="I245" s="14">
        <v>8</v>
      </c>
      <c r="J245" s="14">
        <v>-23</v>
      </c>
      <c r="P245" s="67"/>
      <c r="W245" s="46"/>
    </row>
    <row r="246" spans="2:23">
      <c r="B246" s="3" t="s">
        <v>131</v>
      </c>
      <c r="C246" s="14">
        <v>-262</v>
      </c>
      <c r="D246" s="14">
        <v>-302</v>
      </c>
      <c r="E246" s="14">
        <v>-78</v>
      </c>
      <c r="F246" s="14">
        <v>-69</v>
      </c>
      <c r="G246" s="14">
        <v>-122</v>
      </c>
      <c r="H246" s="14">
        <v>-112</v>
      </c>
      <c r="I246" s="14">
        <v>-79</v>
      </c>
      <c r="J246" s="14">
        <v>-91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3</v>
      </c>
      <c r="G247" s="14">
        <v>0</v>
      </c>
      <c r="H247" s="14">
        <v>-3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-688</v>
      </c>
      <c r="D248" s="14">
        <v>0</v>
      </c>
      <c r="E248" s="14">
        <v>0</v>
      </c>
      <c r="F248" s="14">
        <v>0</v>
      </c>
      <c r="G248" s="14">
        <v>-606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-351</v>
      </c>
      <c r="D250" s="14">
        <v>607</v>
      </c>
      <c r="E250" s="14">
        <v>540</v>
      </c>
      <c r="F250" s="14">
        <v>317</v>
      </c>
      <c r="G250" s="14">
        <v>4</v>
      </c>
      <c r="H250" s="14">
        <v>607</v>
      </c>
      <c r="I250" s="14">
        <v>628</v>
      </c>
      <c r="J250" s="14">
        <v>-193</v>
      </c>
    </row>
    <row r="251" spans="2:23">
      <c r="B251" s="3" t="s">
        <v>136</v>
      </c>
      <c r="C251" s="14">
        <v>-3</v>
      </c>
      <c r="D251" s="14">
        <v>0</v>
      </c>
      <c r="E251" s="14">
        <v>-3</v>
      </c>
      <c r="F251" s="14">
        <v>-3</v>
      </c>
      <c r="G251" s="14">
        <v>-3</v>
      </c>
      <c r="H251" s="14">
        <v>-3</v>
      </c>
      <c r="I251" s="14">
        <v>-3</v>
      </c>
      <c r="J251" s="14">
        <v>-3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-1</v>
      </c>
      <c r="E255" s="14">
        <v>-1</v>
      </c>
      <c r="F255" s="14">
        <v>3</v>
      </c>
      <c r="G255" s="14">
        <v>0</v>
      </c>
      <c r="H255" s="14">
        <v>8</v>
      </c>
      <c r="I255" s="14">
        <v>0</v>
      </c>
      <c r="J255" s="14">
        <v>1</v>
      </c>
      <c r="P255" s="67"/>
      <c r="W255" s="46"/>
    </row>
    <row r="256" spans="2:23">
      <c r="B256" s="3" t="s">
        <v>141</v>
      </c>
      <c r="C256" s="14">
        <v>-1042</v>
      </c>
      <c r="D256" s="14">
        <v>605</v>
      </c>
      <c r="E256" s="14">
        <v>536</v>
      </c>
      <c r="F256" s="14">
        <v>322</v>
      </c>
      <c r="G256" s="14">
        <v>-606</v>
      </c>
      <c r="H256" s="14">
        <v>608</v>
      </c>
      <c r="I256" s="14">
        <v>625</v>
      </c>
      <c r="J256" s="14">
        <v>-192</v>
      </c>
    </row>
    <row r="257" spans="2:23">
      <c r="B257" s="3" t="s">
        <v>142</v>
      </c>
      <c r="C257" s="14">
        <v>102</v>
      </c>
      <c r="D257" s="14">
        <v>-37</v>
      </c>
      <c r="E257" s="14">
        <v>-19</v>
      </c>
      <c r="F257" s="14">
        <v>53</v>
      </c>
      <c r="G257" s="14">
        <v>49</v>
      </c>
      <c r="H257" s="14">
        <v>-28</v>
      </c>
      <c r="I257" s="14">
        <v>-11</v>
      </c>
      <c r="J257" s="14">
        <v>42</v>
      </c>
      <c r="P257" s="67"/>
      <c r="W257" s="46"/>
    </row>
    <row r="258" spans="2:23">
      <c r="B258" s="3" t="s">
        <v>143</v>
      </c>
      <c r="C258" s="14">
        <v>367</v>
      </c>
      <c r="D258" s="14">
        <v>341</v>
      </c>
      <c r="E258" s="14">
        <v>-3</v>
      </c>
      <c r="F258" s="14">
        <v>410</v>
      </c>
      <c r="G258" s="14">
        <v>-153</v>
      </c>
      <c r="H258" s="14">
        <v>1012</v>
      </c>
      <c r="I258" s="14">
        <v>142</v>
      </c>
      <c r="J258" s="14">
        <v>-70</v>
      </c>
    </row>
    <row r="259" spans="2:23">
      <c r="B259" s="3" t="s">
        <v>144</v>
      </c>
      <c r="C259" s="14">
        <v>5562</v>
      </c>
      <c r="D259" s="14">
        <v>5221</v>
      </c>
      <c r="E259" s="14">
        <v>5224</v>
      </c>
      <c r="F259" s="14">
        <v>4813</v>
      </c>
      <c r="G259" s="14">
        <v>4966</v>
      </c>
      <c r="H259" s="14">
        <v>3954</v>
      </c>
      <c r="I259" s="14">
        <v>3813</v>
      </c>
      <c r="J259" s="14">
        <v>3882</v>
      </c>
      <c r="P259" s="67"/>
      <c r="W259" s="46"/>
    </row>
    <row r="260" spans="2:23">
      <c r="B260" s="3" t="s">
        <v>145</v>
      </c>
      <c r="C260" s="14">
        <v>5929</v>
      </c>
      <c r="D260" s="14">
        <v>5562</v>
      </c>
      <c r="E260" s="14">
        <v>5221</v>
      </c>
      <c r="F260" s="14">
        <v>5224</v>
      </c>
      <c r="G260" s="14">
        <v>4813</v>
      </c>
      <c r="H260" s="14">
        <v>4966</v>
      </c>
      <c r="I260" s="14">
        <v>3954</v>
      </c>
      <c r="J260" s="14">
        <v>3813</v>
      </c>
    </row>
    <row r="261" spans="2:23">
      <c r="B261" s="3" t="s">
        <v>146</v>
      </c>
      <c r="C261" s="14">
        <v>23</v>
      </c>
      <c r="D261" s="14">
        <v>13</v>
      </c>
      <c r="E261" s="14">
        <v>32</v>
      </c>
      <c r="F261" s="14">
        <v>12</v>
      </c>
      <c r="G261" s="14">
        <v>14</v>
      </c>
      <c r="H261" s="14">
        <v>16</v>
      </c>
      <c r="I261" s="14">
        <v>6</v>
      </c>
      <c r="J261" s="14">
        <v>6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3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O49:O50"/>
    <mergeCell ref="P49:P50"/>
    <mergeCell ref="Q49:Q50"/>
    <mergeCell ref="R49:R50"/>
    <mergeCell ref="S49:S50"/>
    <mergeCell ref="F34:I34"/>
    <mergeCell ref="F20:I20"/>
    <mergeCell ref="F22:I22"/>
    <mergeCell ref="F28:I28"/>
    <mergeCell ref="F30:I30"/>
    <mergeCell ref="F32:I32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</mergeCells>
  <phoneticPr fontId="2" type="noConversion"/>
  <hyperlinks>
    <hyperlink ref="N51" r:id="rId1" display="https://tw.stock.yahoo.com/q/bc?s=5388"/>
    <hyperlink ref="N52" r:id="rId2" display="https://tw.stock.yahoo.com/pf/pfsel?stocklist=5388;"/>
    <hyperlink ref="N54" r:id="rId3" display="https://tw.stock.yahoo.com/pf/pfsel?stocklist=5388;"/>
    <hyperlink ref="Y51" r:id="rId4" display="https://tw.stock.yahoo.com/q/ts?s=5388"/>
    <hyperlink ref="Y54" r:id="rId5" display="https://tw.rd.yahoo.com/referurl/stock/other/SIG=125v47s73/**https:/tw.screener.finance.yahoo.net/screener/check.html?symid=5388"/>
  </hyperlinks>
  <pageMargins left="0.7" right="0.7" top="0.75" bottom="0.75" header="0.3" footer="0.3"/>
  <pageSetup paperSize="9" orientation="portrait" r:id="rId6"/>
  <drawing r:id="rId7"/>
  <legacyDrawing r:id="rId8"/>
  <controls>
    <control shapeId="1068" r:id="rId9" name="CommandButton30"/>
    <control shapeId="1066" r:id="rId10" name="CommandButton29"/>
    <control shapeId="1065" r:id="rId11" name="CommandButton28"/>
    <control shapeId="1063" r:id="rId12" name="CommandButton27"/>
    <control shapeId="1061" r:id="rId13" name="CommandButton26"/>
    <control shapeId="1055" r:id="rId14" name="CommandButton21"/>
    <control shapeId="1054" r:id="rId15" name="CommandButton20"/>
    <control shapeId="1053" r:id="rId16" name="CommandButton19"/>
    <control shapeId="1051" r:id="rId17" name="CommandButton17"/>
    <control shapeId="1050" r:id="rId18" name="CommandButton16"/>
    <control shapeId="1049" r:id="rId19" name="CommandButton15"/>
    <control shapeId="1047" r:id="rId20" name="CommandButton14"/>
    <control shapeId="1045" r:id="rId21" name="CommandButton13"/>
    <control shapeId="1044" r:id="rId22" name="CommandButton12"/>
    <control shapeId="1042" r:id="rId23" name="CommandButton11"/>
    <control shapeId="1034" r:id="rId24" name="CommandButton0"/>
    <control shapeId="1033" r:id="rId25" name="CommandButton9"/>
    <control shapeId="1032" r:id="rId26" name="CommandButton8"/>
    <control shapeId="1031" r:id="rId27" name="CommandButton7"/>
    <control shapeId="1030" r:id="rId28" name="CommandButton6"/>
    <control shapeId="1029" r:id="rId29" name="CommandButton5"/>
    <control shapeId="1028" r:id="rId30" name="CommandButton4"/>
    <control shapeId="1027" r:id="rId31" name="CommandButton2"/>
    <control shapeId="1026" r:id="rId32" name="CommandButton1"/>
    <control shapeId="1025" r:id="rId33" name="ComboBox1"/>
    <control shapeId="1040" r:id="rId34" name="CommandButton3"/>
    <control shapeId="1056" r:id="rId35" name="CommandButton10"/>
    <control shapeId="1057" r:id="rId36" name="CommandButton22"/>
    <control shapeId="1058" r:id="rId37" name="CommandButton23"/>
    <control shapeId="1059" r:id="rId38" name="CommandButton24"/>
    <control shapeId="1060" r:id="rId39" name="CommandButton25"/>
    <control shapeId="1070" r:id="rId40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:AI358"/>
  <sheetViews>
    <sheetView zoomScale="80" zoomScaleNormal="8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A7" sqref="A7"/>
    </sheetView>
  </sheetViews>
  <sheetFormatPr defaultRowHeight="16.5"/>
  <cols>
    <col min="1" max="3" width="9" style="341"/>
    <col min="4" max="4" width="15.25" style="341" bestFit="1" customWidth="1"/>
    <col min="5" max="5" width="10.75" style="341" bestFit="1" customWidth="1"/>
    <col min="6" max="7" width="13.375" style="341" bestFit="1" customWidth="1"/>
    <col min="8" max="8" width="8.375" style="341" bestFit="1" customWidth="1"/>
    <col min="9" max="11" width="10" style="341" bestFit="1" customWidth="1"/>
    <col min="12" max="12" width="12.75" style="341" bestFit="1" customWidth="1"/>
    <col min="13" max="13" width="8.625" style="341" bestFit="1" customWidth="1"/>
    <col min="14" max="26" width="9" style="341"/>
    <col min="27" max="27" width="26.5" style="341" bestFit="1" customWidth="1"/>
    <col min="28" max="28" width="9.5" style="341" bestFit="1" customWidth="1"/>
    <col min="29" max="29" width="16.125" style="341" bestFit="1" customWidth="1"/>
    <col min="30" max="30" width="9.5" style="341" bestFit="1" customWidth="1"/>
    <col min="31" max="31" width="12.375" style="341" bestFit="1" customWidth="1"/>
    <col min="32" max="32" width="9.5" style="341" bestFit="1" customWidth="1"/>
    <col min="33" max="33" width="12.375" style="341" bestFit="1" customWidth="1"/>
    <col min="34" max="34" width="9.5" style="341" bestFit="1" customWidth="1"/>
    <col min="35" max="223" width="9" style="341"/>
    <col min="224" max="225" width="13.125" style="341" bestFit="1" customWidth="1"/>
    <col min="226" max="226" width="17.5" style="341" bestFit="1" customWidth="1"/>
    <col min="227" max="231" width="13.125" style="341" bestFit="1" customWidth="1"/>
    <col min="232" max="233" width="17.5" style="341" bestFit="1" customWidth="1"/>
    <col min="234" max="245" width="13.125" style="341" bestFit="1" customWidth="1"/>
    <col min="246" max="246" width="52.5" style="341" bestFit="1" customWidth="1"/>
    <col min="247" max="252" width="13.125" style="341" bestFit="1" customWidth="1"/>
    <col min="253" max="253" width="39.375" style="341" bestFit="1" customWidth="1"/>
    <col min="254" max="255" width="13.125" style="341" bestFit="1" customWidth="1"/>
    <col min="256" max="256" width="39.375" style="341" bestFit="1" customWidth="1"/>
    <col min="257" max="258" width="26.25" style="341" bestFit="1" customWidth="1"/>
    <col min="259" max="263" width="13.125" style="341" bestFit="1" customWidth="1"/>
    <col min="264" max="264" width="43.75" style="341" bestFit="1" customWidth="1"/>
    <col min="265" max="479" width="9" style="341"/>
    <col min="480" max="481" width="13.125" style="341" bestFit="1" customWidth="1"/>
    <col min="482" max="482" width="17.5" style="341" bestFit="1" customWidth="1"/>
    <col min="483" max="487" width="13.125" style="341" bestFit="1" customWidth="1"/>
    <col min="488" max="489" width="17.5" style="341" bestFit="1" customWidth="1"/>
    <col min="490" max="501" width="13.125" style="341" bestFit="1" customWidth="1"/>
    <col min="502" max="502" width="52.5" style="341" bestFit="1" customWidth="1"/>
    <col min="503" max="508" width="13.125" style="341" bestFit="1" customWidth="1"/>
    <col min="509" max="509" width="39.375" style="341" bestFit="1" customWidth="1"/>
    <col min="510" max="511" width="13.125" style="341" bestFit="1" customWidth="1"/>
    <col min="512" max="512" width="39.375" style="341" bestFit="1" customWidth="1"/>
    <col min="513" max="514" width="26.25" style="341" bestFit="1" customWidth="1"/>
    <col min="515" max="519" width="13.125" style="341" bestFit="1" customWidth="1"/>
    <col min="520" max="520" width="43.75" style="341" bestFit="1" customWidth="1"/>
    <col min="521" max="735" width="9" style="341"/>
    <col min="736" max="737" width="13.125" style="341" bestFit="1" customWidth="1"/>
    <col min="738" max="738" width="17.5" style="341" bestFit="1" customWidth="1"/>
    <col min="739" max="743" width="13.125" style="341" bestFit="1" customWidth="1"/>
    <col min="744" max="745" width="17.5" style="341" bestFit="1" customWidth="1"/>
    <col min="746" max="757" width="13.125" style="341" bestFit="1" customWidth="1"/>
    <col min="758" max="758" width="52.5" style="341" bestFit="1" customWidth="1"/>
    <col min="759" max="764" width="13.125" style="341" bestFit="1" customWidth="1"/>
    <col min="765" max="765" width="39.375" style="341" bestFit="1" customWidth="1"/>
    <col min="766" max="767" width="13.125" style="341" bestFit="1" customWidth="1"/>
    <col min="768" max="768" width="39.375" style="341" bestFit="1" customWidth="1"/>
    <col min="769" max="770" width="26.25" style="341" bestFit="1" customWidth="1"/>
    <col min="771" max="775" width="13.125" style="341" bestFit="1" customWidth="1"/>
    <col min="776" max="776" width="43.75" style="341" bestFit="1" customWidth="1"/>
    <col min="777" max="991" width="9" style="341"/>
    <col min="992" max="993" width="13.125" style="341" bestFit="1" customWidth="1"/>
    <col min="994" max="994" width="17.5" style="341" bestFit="1" customWidth="1"/>
    <col min="995" max="999" width="13.125" style="341" bestFit="1" customWidth="1"/>
    <col min="1000" max="1001" width="17.5" style="341" bestFit="1" customWidth="1"/>
    <col min="1002" max="1013" width="13.125" style="341" bestFit="1" customWidth="1"/>
    <col min="1014" max="1014" width="52.5" style="341" bestFit="1" customWidth="1"/>
    <col min="1015" max="1020" width="13.125" style="341" bestFit="1" customWidth="1"/>
    <col min="1021" max="1021" width="39.375" style="341" bestFit="1" customWidth="1"/>
    <col min="1022" max="1023" width="13.125" style="341" bestFit="1" customWidth="1"/>
    <col min="1024" max="1024" width="39.375" style="341" bestFit="1" customWidth="1"/>
    <col min="1025" max="1026" width="26.25" style="341" bestFit="1" customWidth="1"/>
    <col min="1027" max="1031" width="13.125" style="341" bestFit="1" customWidth="1"/>
    <col min="1032" max="1032" width="43.75" style="341" bestFit="1" customWidth="1"/>
    <col min="1033" max="1247" width="9" style="341"/>
    <col min="1248" max="1249" width="13.125" style="341" bestFit="1" customWidth="1"/>
    <col min="1250" max="1250" width="17.5" style="341" bestFit="1" customWidth="1"/>
    <col min="1251" max="1255" width="13.125" style="341" bestFit="1" customWidth="1"/>
    <col min="1256" max="1257" width="17.5" style="341" bestFit="1" customWidth="1"/>
    <col min="1258" max="1269" width="13.125" style="341" bestFit="1" customWidth="1"/>
    <col min="1270" max="1270" width="52.5" style="341" bestFit="1" customWidth="1"/>
    <col min="1271" max="1276" width="13.125" style="341" bestFit="1" customWidth="1"/>
    <col min="1277" max="1277" width="39.375" style="341" bestFit="1" customWidth="1"/>
    <col min="1278" max="1279" width="13.125" style="341" bestFit="1" customWidth="1"/>
    <col min="1280" max="1280" width="39.375" style="341" bestFit="1" customWidth="1"/>
    <col min="1281" max="1282" width="26.25" style="341" bestFit="1" customWidth="1"/>
    <col min="1283" max="1287" width="13.125" style="341" bestFit="1" customWidth="1"/>
    <col min="1288" max="1288" width="43.75" style="341" bestFit="1" customWidth="1"/>
    <col min="1289" max="1503" width="9" style="341"/>
    <col min="1504" max="1505" width="13.125" style="341" bestFit="1" customWidth="1"/>
    <col min="1506" max="1506" width="17.5" style="341" bestFit="1" customWidth="1"/>
    <col min="1507" max="1511" width="13.125" style="341" bestFit="1" customWidth="1"/>
    <col min="1512" max="1513" width="17.5" style="341" bestFit="1" customWidth="1"/>
    <col min="1514" max="1525" width="13.125" style="341" bestFit="1" customWidth="1"/>
    <col min="1526" max="1526" width="52.5" style="341" bestFit="1" customWidth="1"/>
    <col min="1527" max="1532" width="13.125" style="341" bestFit="1" customWidth="1"/>
    <col min="1533" max="1533" width="39.375" style="341" bestFit="1" customWidth="1"/>
    <col min="1534" max="1535" width="13.125" style="341" bestFit="1" customWidth="1"/>
    <col min="1536" max="1536" width="39.375" style="341" bestFit="1" customWidth="1"/>
    <col min="1537" max="1538" width="26.25" style="341" bestFit="1" customWidth="1"/>
    <col min="1539" max="1543" width="13.125" style="341" bestFit="1" customWidth="1"/>
    <col min="1544" max="1544" width="43.75" style="341" bestFit="1" customWidth="1"/>
    <col min="1545" max="1759" width="9" style="341"/>
    <col min="1760" max="1761" width="13.125" style="341" bestFit="1" customWidth="1"/>
    <col min="1762" max="1762" width="17.5" style="341" bestFit="1" customWidth="1"/>
    <col min="1763" max="1767" width="13.125" style="341" bestFit="1" customWidth="1"/>
    <col min="1768" max="1769" width="17.5" style="341" bestFit="1" customWidth="1"/>
    <col min="1770" max="1781" width="13.125" style="341" bestFit="1" customWidth="1"/>
    <col min="1782" max="1782" width="52.5" style="341" bestFit="1" customWidth="1"/>
    <col min="1783" max="1788" width="13.125" style="341" bestFit="1" customWidth="1"/>
    <col min="1789" max="1789" width="39.375" style="341" bestFit="1" customWidth="1"/>
    <col min="1790" max="1791" width="13.125" style="341" bestFit="1" customWidth="1"/>
    <col min="1792" max="1792" width="39.375" style="341" bestFit="1" customWidth="1"/>
    <col min="1793" max="1794" width="26.25" style="341" bestFit="1" customWidth="1"/>
    <col min="1795" max="1799" width="13.125" style="341" bestFit="1" customWidth="1"/>
    <col min="1800" max="1800" width="43.75" style="341" bestFit="1" customWidth="1"/>
    <col min="1801" max="2015" width="9" style="341"/>
    <col min="2016" max="2017" width="13.125" style="341" bestFit="1" customWidth="1"/>
    <col min="2018" max="2018" width="17.5" style="341" bestFit="1" customWidth="1"/>
    <col min="2019" max="2023" width="13.125" style="341" bestFit="1" customWidth="1"/>
    <col min="2024" max="2025" width="17.5" style="341" bestFit="1" customWidth="1"/>
    <col min="2026" max="2037" width="13.125" style="341" bestFit="1" customWidth="1"/>
    <col min="2038" max="2038" width="52.5" style="341" bestFit="1" customWidth="1"/>
    <col min="2039" max="2044" width="13.125" style="341" bestFit="1" customWidth="1"/>
    <col min="2045" max="2045" width="39.375" style="341" bestFit="1" customWidth="1"/>
    <col min="2046" max="2047" width="13.125" style="341" bestFit="1" customWidth="1"/>
    <col min="2048" max="2048" width="39.375" style="341" bestFit="1" customWidth="1"/>
    <col min="2049" max="2050" width="26.25" style="341" bestFit="1" customWidth="1"/>
    <col min="2051" max="2055" width="13.125" style="341" bestFit="1" customWidth="1"/>
    <col min="2056" max="2056" width="43.75" style="341" bestFit="1" customWidth="1"/>
    <col min="2057" max="2271" width="9" style="341"/>
    <col min="2272" max="2273" width="13.125" style="341" bestFit="1" customWidth="1"/>
    <col min="2274" max="2274" width="17.5" style="341" bestFit="1" customWidth="1"/>
    <col min="2275" max="2279" width="13.125" style="341" bestFit="1" customWidth="1"/>
    <col min="2280" max="2281" width="17.5" style="341" bestFit="1" customWidth="1"/>
    <col min="2282" max="2293" width="13.125" style="341" bestFit="1" customWidth="1"/>
    <col min="2294" max="2294" width="52.5" style="341" bestFit="1" customWidth="1"/>
    <col min="2295" max="2300" width="13.125" style="341" bestFit="1" customWidth="1"/>
    <col min="2301" max="2301" width="39.375" style="341" bestFit="1" customWidth="1"/>
    <col min="2302" max="2303" width="13.125" style="341" bestFit="1" customWidth="1"/>
    <col min="2304" max="2304" width="39.375" style="341" bestFit="1" customWidth="1"/>
    <col min="2305" max="2306" width="26.25" style="341" bestFit="1" customWidth="1"/>
    <col min="2307" max="2311" width="13.125" style="341" bestFit="1" customWidth="1"/>
    <col min="2312" max="2312" width="43.75" style="341" bestFit="1" customWidth="1"/>
    <col min="2313" max="2527" width="9" style="341"/>
    <col min="2528" max="2529" width="13.125" style="341" bestFit="1" customWidth="1"/>
    <col min="2530" max="2530" width="17.5" style="341" bestFit="1" customWidth="1"/>
    <col min="2531" max="2535" width="13.125" style="341" bestFit="1" customWidth="1"/>
    <col min="2536" max="2537" width="17.5" style="341" bestFit="1" customWidth="1"/>
    <col min="2538" max="2549" width="13.125" style="341" bestFit="1" customWidth="1"/>
    <col min="2550" max="2550" width="52.5" style="341" bestFit="1" customWidth="1"/>
    <col min="2551" max="2556" width="13.125" style="341" bestFit="1" customWidth="1"/>
    <col min="2557" max="2557" width="39.375" style="341" bestFit="1" customWidth="1"/>
    <col min="2558" max="2559" width="13.125" style="341" bestFit="1" customWidth="1"/>
    <col min="2560" max="2560" width="39.375" style="341" bestFit="1" customWidth="1"/>
    <col min="2561" max="2562" width="26.25" style="341" bestFit="1" customWidth="1"/>
    <col min="2563" max="2567" width="13.125" style="341" bestFit="1" customWidth="1"/>
    <col min="2568" max="2568" width="43.75" style="341" bestFit="1" customWidth="1"/>
    <col min="2569" max="2783" width="9" style="341"/>
    <col min="2784" max="2785" width="13.125" style="341" bestFit="1" customWidth="1"/>
    <col min="2786" max="2786" width="17.5" style="341" bestFit="1" customWidth="1"/>
    <col min="2787" max="2791" width="13.125" style="341" bestFit="1" customWidth="1"/>
    <col min="2792" max="2793" width="17.5" style="341" bestFit="1" customWidth="1"/>
    <col min="2794" max="2805" width="13.125" style="341" bestFit="1" customWidth="1"/>
    <col min="2806" max="2806" width="52.5" style="341" bestFit="1" customWidth="1"/>
    <col min="2807" max="2812" width="13.125" style="341" bestFit="1" customWidth="1"/>
    <col min="2813" max="2813" width="39.375" style="341" bestFit="1" customWidth="1"/>
    <col min="2814" max="2815" width="13.125" style="341" bestFit="1" customWidth="1"/>
    <col min="2816" max="2816" width="39.375" style="341" bestFit="1" customWidth="1"/>
    <col min="2817" max="2818" width="26.25" style="341" bestFit="1" customWidth="1"/>
    <col min="2819" max="2823" width="13.125" style="341" bestFit="1" customWidth="1"/>
    <col min="2824" max="2824" width="43.75" style="341" bestFit="1" customWidth="1"/>
    <col min="2825" max="3039" width="9" style="341"/>
    <col min="3040" max="3041" width="13.125" style="341" bestFit="1" customWidth="1"/>
    <col min="3042" max="3042" width="17.5" style="341" bestFit="1" customWidth="1"/>
    <col min="3043" max="3047" width="13.125" style="341" bestFit="1" customWidth="1"/>
    <col min="3048" max="3049" width="17.5" style="341" bestFit="1" customWidth="1"/>
    <col min="3050" max="3061" width="13.125" style="341" bestFit="1" customWidth="1"/>
    <col min="3062" max="3062" width="52.5" style="341" bestFit="1" customWidth="1"/>
    <col min="3063" max="3068" width="13.125" style="341" bestFit="1" customWidth="1"/>
    <col min="3069" max="3069" width="39.375" style="341" bestFit="1" customWidth="1"/>
    <col min="3070" max="3071" width="13.125" style="341" bestFit="1" customWidth="1"/>
    <col min="3072" max="3072" width="39.375" style="341" bestFit="1" customWidth="1"/>
    <col min="3073" max="3074" width="26.25" style="341" bestFit="1" customWidth="1"/>
    <col min="3075" max="3079" width="13.125" style="341" bestFit="1" customWidth="1"/>
    <col min="3080" max="3080" width="43.75" style="341" bestFit="1" customWidth="1"/>
    <col min="3081" max="3295" width="9" style="341"/>
    <col min="3296" max="3297" width="13.125" style="341" bestFit="1" customWidth="1"/>
    <col min="3298" max="3298" width="17.5" style="341" bestFit="1" customWidth="1"/>
    <col min="3299" max="3303" width="13.125" style="341" bestFit="1" customWidth="1"/>
    <col min="3304" max="3305" width="17.5" style="341" bestFit="1" customWidth="1"/>
    <col min="3306" max="3317" width="13.125" style="341" bestFit="1" customWidth="1"/>
    <col min="3318" max="3318" width="52.5" style="341" bestFit="1" customWidth="1"/>
    <col min="3319" max="3324" width="13.125" style="341" bestFit="1" customWidth="1"/>
    <col min="3325" max="3325" width="39.375" style="341" bestFit="1" customWidth="1"/>
    <col min="3326" max="3327" width="13.125" style="341" bestFit="1" customWidth="1"/>
    <col min="3328" max="3328" width="39.375" style="341" bestFit="1" customWidth="1"/>
    <col min="3329" max="3330" width="26.25" style="341" bestFit="1" customWidth="1"/>
    <col min="3331" max="3335" width="13.125" style="341" bestFit="1" customWidth="1"/>
    <col min="3336" max="3336" width="43.75" style="341" bestFit="1" customWidth="1"/>
    <col min="3337" max="3551" width="9" style="341"/>
    <col min="3552" max="3553" width="13.125" style="341" bestFit="1" customWidth="1"/>
    <col min="3554" max="3554" width="17.5" style="341" bestFit="1" customWidth="1"/>
    <col min="3555" max="3559" width="13.125" style="341" bestFit="1" customWidth="1"/>
    <col min="3560" max="3561" width="17.5" style="341" bestFit="1" customWidth="1"/>
    <col min="3562" max="3573" width="13.125" style="341" bestFit="1" customWidth="1"/>
    <col min="3574" max="3574" width="52.5" style="341" bestFit="1" customWidth="1"/>
    <col min="3575" max="3580" width="13.125" style="341" bestFit="1" customWidth="1"/>
    <col min="3581" max="3581" width="39.375" style="341" bestFit="1" customWidth="1"/>
    <col min="3582" max="3583" width="13.125" style="341" bestFit="1" customWidth="1"/>
    <col min="3584" max="3584" width="39.375" style="341" bestFit="1" customWidth="1"/>
    <col min="3585" max="3586" width="26.25" style="341" bestFit="1" customWidth="1"/>
    <col min="3587" max="3591" width="13.125" style="341" bestFit="1" customWidth="1"/>
    <col min="3592" max="3592" width="43.75" style="341" bestFit="1" customWidth="1"/>
    <col min="3593" max="3807" width="9" style="341"/>
    <col min="3808" max="3809" width="13.125" style="341" bestFit="1" customWidth="1"/>
    <col min="3810" max="3810" width="17.5" style="341" bestFit="1" customWidth="1"/>
    <col min="3811" max="3815" width="13.125" style="341" bestFit="1" customWidth="1"/>
    <col min="3816" max="3817" width="17.5" style="341" bestFit="1" customWidth="1"/>
    <col min="3818" max="3829" width="13.125" style="341" bestFit="1" customWidth="1"/>
    <col min="3830" max="3830" width="52.5" style="341" bestFit="1" customWidth="1"/>
    <col min="3831" max="3836" width="13.125" style="341" bestFit="1" customWidth="1"/>
    <col min="3837" max="3837" width="39.375" style="341" bestFit="1" customWidth="1"/>
    <col min="3838" max="3839" width="13.125" style="341" bestFit="1" customWidth="1"/>
    <col min="3840" max="3840" width="39.375" style="341" bestFit="1" customWidth="1"/>
    <col min="3841" max="3842" width="26.25" style="341" bestFit="1" customWidth="1"/>
    <col min="3843" max="3847" width="13.125" style="341" bestFit="1" customWidth="1"/>
    <col min="3848" max="3848" width="43.75" style="341" bestFit="1" customWidth="1"/>
    <col min="3849" max="4063" width="9" style="341"/>
    <col min="4064" max="4065" width="13.125" style="341" bestFit="1" customWidth="1"/>
    <col min="4066" max="4066" width="17.5" style="341" bestFit="1" customWidth="1"/>
    <col min="4067" max="4071" width="13.125" style="341" bestFit="1" customWidth="1"/>
    <col min="4072" max="4073" width="17.5" style="341" bestFit="1" customWidth="1"/>
    <col min="4074" max="4085" width="13.125" style="341" bestFit="1" customWidth="1"/>
    <col min="4086" max="4086" width="52.5" style="341" bestFit="1" customWidth="1"/>
    <col min="4087" max="4092" width="13.125" style="341" bestFit="1" customWidth="1"/>
    <col min="4093" max="4093" width="39.375" style="341" bestFit="1" customWidth="1"/>
    <col min="4094" max="4095" width="13.125" style="341" bestFit="1" customWidth="1"/>
    <col min="4096" max="4096" width="39.375" style="341" bestFit="1" customWidth="1"/>
    <col min="4097" max="4098" width="26.25" style="341" bestFit="1" customWidth="1"/>
    <col min="4099" max="4103" width="13.125" style="341" bestFit="1" customWidth="1"/>
    <col min="4104" max="4104" width="43.75" style="341" bestFit="1" customWidth="1"/>
    <col min="4105" max="4319" width="9" style="341"/>
    <col min="4320" max="4321" width="13.125" style="341" bestFit="1" customWidth="1"/>
    <col min="4322" max="4322" width="17.5" style="341" bestFit="1" customWidth="1"/>
    <col min="4323" max="4327" width="13.125" style="341" bestFit="1" customWidth="1"/>
    <col min="4328" max="4329" width="17.5" style="341" bestFit="1" customWidth="1"/>
    <col min="4330" max="4341" width="13.125" style="341" bestFit="1" customWidth="1"/>
    <col min="4342" max="4342" width="52.5" style="341" bestFit="1" customWidth="1"/>
    <col min="4343" max="4348" width="13.125" style="341" bestFit="1" customWidth="1"/>
    <col min="4349" max="4349" width="39.375" style="341" bestFit="1" customWidth="1"/>
    <col min="4350" max="4351" width="13.125" style="341" bestFit="1" customWidth="1"/>
    <col min="4352" max="4352" width="39.375" style="341" bestFit="1" customWidth="1"/>
    <col min="4353" max="4354" width="26.25" style="341" bestFit="1" customWidth="1"/>
    <col min="4355" max="4359" width="13.125" style="341" bestFit="1" customWidth="1"/>
    <col min="4360" max="4360" width="43.75" style="341" bestFit="1" customWidth="1"/>
    <col min="4361" max="4575" width="9" style="341"/>
    <col min="4576" max="4577" width="13.125" style="341" bestFit="1" customWidth="1"/>
    <col min="4578" max="4578" width="17.5" style="341" bestFit="1" customWidth="1"/>
    <col min="4579" max="4583" width="13.125" style="341" bestFit="1" customWidth="1"/>
    <col min="4584" max="4585" width="17.5" style="341" bestFit="1" customWidth="1"/>
    <col min="4586" max="4597" width="13.125" style="341" bestFit="1" customWidth="1"/>
    <col min="4598" max="4598" width="52.5" style="341" bestFit="1" customWidth="1"/>
    <col min="4599" max="4604" width="13.125" style="341" bestFit="1" customWidth="1"/>
    <col min="4605" max="4605" width="39.375" style="341" bestFit="1" customWidth="1"/>
    <col min="4606" max="4607" width="13.125" style="341" bestFit="1" customWidth="1"/>
    <col min="4608" max="4608" width="39.375" style="341" bestFit="1" customWidth="1"/>
    <col min="4609" max="4610" width="26.25" style="341" bestFit="1" customWidth="1"/>
    <col min="4611" max="4615" width="13.125" style="341" bestFit="1" customWidth="1"/>
    <col min="4616" max="4616" width="43.75" style="341" bestFit="1" customWidth="1"/>
    <col min="4617" max="4831" width="9" style="341"/>
    <col min="4832" max="4833" width="13.125" style="341" bestFit="1" customWidth="1"/>
    <col min="4834" max="4834" width="17.5" style="341" bestFit="1" customWidth="1"/>
    <col min="4835" max="4839" width="13.125" style="341" bestFit="1" customWidth="1"/>
    <col min="4840" max="4841" width="17.5" style="341" bestFit="1" customWidth="1"/>
    <col min="4842" max="4853" width="13.125" style="341" bestFit="1" customWidth="1"/>
    <col min="4854" max="4854" width="52.5" style="341" bestFit="1" customWidth="1"/>
    <col min="4855" max="4860" width="13.125" style="341" bestFit="1" customWidth="1"/>
    <col min="4861" max="4861" width="39.375" style="341" bestFit="1" customWidth="1"/>
    <col min="4862" max="4863" width="13.125" style="341" bestFit="1" customWidth="1"/>
    <col min="4864" max="4864" width="39.375" style="341" bestFit="1" customWidth="1"/>
    <col min="4865" max="4866" width="26.25" style="341" bestFit="1" customWidth="1"/>
    <col min="4867" max="4871" width="13.125" style="341" bestFit="1" customWidth="1"/>
    <col min="4872" max="4872" width="43.75" style="341" bestFit="1" customWidth="1"/>
    <col min="4873" max="5087" width="9" style="341"/>
    <col min="5088" max="5089" width="13.125" style="341" bestFit="1" customWidth="1"/>
    <col min="5090" max="5090" width="17.5" style="341" bestFit="1" customWidth="1"/>
    <col min="5091" max="5095" width="13.125" style="341" bestFit="1" customWidth="1"/>
    <col min="5096" max="5097" width="17.5" style="341" bestFit="1" customWidth="1"/>
    <col min="5098" max="5109" width="13.125" style="341" bestFit="1" customWidth="1"/>
    <col min="5110" max="5110" width="52.5" style="341" bestFit="1" customWidth="1"/>
    <col min="5111" max="5116" width="13.125" style="341" bestFit="1" customWidth="1"/>
    <col min="5117" max="5117" width="39.375" style="341" bestFit="1" customWidth="1"/>
    <col min="5118" max="5119" width="13.125" style="341" bestFit="1" customWidth="1"/>
    <col min="5120" max="5120" width="39.375" style="341" bestFit="1" customWidth="1"/>
    <col min="5121" max="5122" width="26.25" style="341" bestFit="1" customWidth="1"/>
    <col min="5123" max="5127" width="13.125" style="341" bestFit="1" customWidth="1"/>
    <col min="5128" max="5128" width="43.75" style="341" bestFit="1" customWidth="1"/>
    <col min="5129" max="5343" width="9" style="341"/>
    <col min="5344" max="5345" width="13.125" style="341" bestFit="1" customWidth="1"/>
    <col min="5346" max="5346" width="17.5" style="341" bestFit="1" customWidth="1"/>
    <col min="5347" max="5351" width="13.125" style="341" bestFit="1" customWidth="1"/>
    <col min="5352" max="5353" width="17.5" style="341" bestFit="1" customWidth="1"/>
    <col min="5354" max="5365" width="13.125" style="341" bestFit="1" customWidth="1"/>
    <col min="5366" max="5366" width="52.5" style="341" bestFit="1" customWidth="1"/>
    <col min="5367" max="5372" width="13.125" style="341" bestFit="1" customWidth="1"/>
    <col min="5373" max="5373" width="39.375" style="341" bestFit="1" customWidth="1"/>
    <col min="5374" max="5375" width="13.125" style="341" bestFit="1" customWidth="1"/>
    <col min="5376" max="5376" width="39.375" style="341" bestFit="1" customWidth="1"/>
    <col min="5377" max="5378" width="26.25" style="341" bestFit="1" customWidth="1"/>
    <col min="5379" max="5383" width="13.125" style="341" bestFit="1" customWidth="1"/>
    <col min="5384" max="5384" width="43.75" style="341" bestFit="1" customWidth="1"/>
    <col min="5385" max="5599" width="9" style="341"/>
    <col min="5600" max="5601" width="13.125" style="341" bestFit="1" customWidth="1"/>
    <col min="5602" max="5602" width="17.5" style="341" bestFit="1" customWidth="1"/>
    <col min="5603" max="5607" width="13.125" style="341" bestFit="1" customWidth="1"/>
    <col min="5608" max="5609" width="17.5" style="341" bestFit="1" customWidth="1"/>
    <col min="5610" max="5621" width="13.125" style="341" bestFit="1" customWidth="1"/>
    <col min="5622" max="5622" width="52.5" style="341" bestFit="1" customWidth="1"/>
    <col min="5623" max="5628" width="13.125" style="341" bestFit="1" customWidth="1"/>
    <col min="5629" max="5629" width="39.375" style="341" bestFit="1" customWidth="1"/>
    <col min="5630" max="5631" width="13.125" style="341" bestFit="1" customWidth="1"/>
    <col min="5632" max="5632" width="39.375" style="341" bestFit="1" customWidth="1"/>
    <col min="5633" max="5634" width="26.25" style="341" bestFit="1" customWidth="1"/>
    <col min="5635" max="5639" width="13.125" style="341" bestFit="1" customWidth="1"/>
    <col min="5640" max="5640" width="43.75" style="341" bestFit="1" customWidth="1"/>
    <col min="5641" max="5855" width="9" style="341"/>
    <col min="5856" max="5857" width="13.125" style="341" bestFit="1" customWidth="1"/>
    <col min="5858" max="5858" width="17.5" style="341" bestFit="1" customWidth="1"/>
    <col min="5859" max="5863" width="13.125" style="341" bestFit="1" customWidth="1"/>
    <col min="5864" max="5865" width="17.5" style="341" bestFit="1" customWidth="1"/>
    <col min="5866" max="5877" width="13.125" style="341" bestFit="1" customWidth="1"/>
    <col min="5878" max="5878" width="52.5" style="341" bestFit="1" customWidth="1"/>
    <col min="5879" max="5884" width="13.125" style="341" bestFit="1" customWidth="1"/>
    <col min="5885" max="5885" width="39.375" style="341" bestFit="1" customWidth="1"/>
    <col min="5886" max="5887" width="13.125" style="341" bestFit="1" customWidth="1"/>
    <col min="5888" max="5888" width="39.375" style="341" bestFit="1" customWidth="1"/>
    <col min="5889" max="5890" width="26.25" style="341" bestFit="1" customWidth="1"/>
    <col min="5891" max="5895" width="13.125" style="341" bestFit="1" customWidth="1"/>
    <col min="5896" max="5896" width="43.75" style="341" bestFit="1" customWidth="1"/>
    <col min="5897" max="6111" width="9" style="341"/>
    <col min="6112" max="6113" width="13.125" style="341" bestFit="1" customWidth="1"/>
    <col min="6114" max="6114" width="17.5" style="341" bestFit="1" customWidth="1"/>
    <col min="6115" max="6119" width="13.125" style="341" bestFit="1" customWidth="1"/>
    <col min="6120" max="6121" width="17.5" style="341" bestFit="1" customWidth="1"/>
    <col min="6122" max="6133" width="13.125" style="341" bestFit="1" customWidth="1"/>
    <col min="6134" max="6134" width="52.5" style="341" bestFit="1" customWidth="1"/>
    <col min="6135" max="6140" width="13.125" style="341" bestFit="1" customWidth="1"/>
    <col min="6141" max="6141" width="39.375" style="341" bestFit="1" customWidth="1"/>
    <col min="6142" max="6143" width="13.125" style="341" bestFit="1" customWidth="1"/>
    <col min="6144" max="6144" width="39.375" style="341" bestFit="1" customWidth="1"/>
    <col min="6145" max="6146" width="26.25" style="341" bestFit="1" customWidth="1"/>
    <col min="6147" max="6151" width="13.125" style="341" bestFit="1" customWidth="1"/>
    <col min="6152" max="6152" width="43.75" style="341" bestFit="1" customWidth="1"/>
    <col min="6153" max="6367" width="9" style="341"/>
    <col min="6368" max="6369" width="13.125" style="341" bestFit="1" customWidth="1"/>
    <col min="6370" max="6370" width="17.5" style="341" bestFit="1" customWidth="1"/>
    <col min="6371" max="6375" width="13.125" style="341" bestFit="1" customWidth="1"/>
    <col min="6376" max="6377" width="17.5" style="341" bestFit="1" customWidth="1"/>
    <col min="6378" max="6389" width="13.125" style="341" bestFit="1" customWidth="1"/>
    <col min="6390" max="6390" width="52.5" style="341" bestFit="1" customWidth="1"/>
    <col min="6391" max="6396" width="13.125" style="341" bestFit="1" customWidth="1"/>
    <col min="6397" max="6397" width="39.375" style="341" bestFit="1" customWidth="1"/>
    <col min="6398" max="6399" width="13.125" style="341" bestFit="1" customWidth="1"/>
    <col min="6400" max="6400" width="39.375" style="341" bestFit="1" customWidth="1"/>
    <col min="6401" max="6402" width="26.25" style="341" bestFit="1" customWidth="1"/>
    <col min="6403" max="6407" width="13.125" style="341" bestFit="1" customWidth="1"/>
    <col min="6408" max="6408" width="43.75" style="341" bestFit="1" customWidth="1"/>
    <col min="6409" max="6623" width="9" style="341"/>
    <col min="6624" max="6625" width="13.125" style="341" bestFit="1" customWidth="1"/>
    <col min="6626" max="6626" width="17.5" style="341" bestFit="1" customWidth="1"/>
    <col min="6627" max="6631" width="13.125" style="341" bestFit="1" customWidth="1"/>
    <col min="6632" max="6633" width="17.5" style="341" bestFit="1" customWidth="1"/>
    <col min="6634" max="6645" width="13.125" style="341" bestFit="1" customWidth="1"/>
    <col min="6646" max="6646" width="52.5" style="341" bestFit="1" customWidth="1"/>
    <col min="6647" max="6652" width="13.125" style="341" bestFit="1" customWidth="1"/>
    <col min="6653" max="6653" width="39.375" style="341" bestFit="1" customWidth="1"/>
    <col min="6654" max="6655" width="13.125" style="341" bestFit="1" customWidth="1"/>
    <col min="6656" max="6656" width="39.375" style="341" bestFit="1" customWidth="1"/>
    <col min="6657" max="6658" width="26.25" style="341" bestFit="1" customWidth="1"/>
    <col min="6659" max="6663" width="13.125" style="341" bestFit="1" customWidth="1"/>
    <col min="6664" max="6664" width="43.75" style="341" bestFit="1" customWidth="1"/>
    <col min="6665" max="6879" width="9" style="341"/>
    <col min="6880" max="6881" width="13.125" style="341" bestFit="1" customWidth="1"/>
    <col min="6882" max="6882" width="17.5" style="341" bestFit="1" customWidth="1"/>
    <col min="6883" max="6887" width="13.125" style="341" bestFit="1" customWidth="1"/>
    <col min="6888" max="6889" width="17.5" style="341" bestFit="1" customWidth="1"/>
    <col min="6890" max="6901" width="13.125" style="341" bestFit="1" customWidth="1"/>
    <col min="6902" max="6902" width="52.5" style="341" bestFit="1" customWidth="1"/>
    <col min="6903" max="6908" width="13.125" style="341" bestFit="1" customWidth="1"/>
    <col min="6909" max="6909" width="39.375" style="341" bestFit="1" customWidth="1"/>
    <col min="6910" max="6911" width="13.125" style="341" bestFit="1" customWidth="1"/>
    <col min="6912" max="6912" width="39.375" style="341" bestFit="1" customWidth="1"/>
    <col min="6913" max="6914" width="26.25" style="341" bestFit="1" customWidth="1"/>
    <col min="6915" max="6919" width="13.125" style="341" bestFit="1" customWidth="1"/>
    <col min="6920" max="6920" width="43.75" style="341" bestFit="1" customWidth="1"/>
    <col min="6921" max="7135" width="9" style="341"/>
    <col min="7136" max="7137" width="13.125" style="341" bestFit="1" customWidth="1"/>
    <col min="7138" max="7138" width="17.5" style="341" bestFit="1" customWidth="1"/>
    <col min="7139" max="7143" width="13.125" style="341" bestFit="1" customWidth="1"/>
    <col min="7144" max="7145" width="17.5" style="341" bestFit="1" customWidth="1"/>
    <col min="7146" max="7157" width="13.125" style="341" bestFit="1" customWidth="1"/>
    <col min="7158" max="7158" width="52.5" style="341" bestFit="1" customWidth="1"/>
    <col min="7159" max="7164" width="13.125" style="341" bestFit="1" customWidth="1"/>
    <col min="7165" max="7165" width="39.375" style="341" bestFit="1" customWidth="1"/>
    <col min="7166" max="7167" width="13.125" style="341" bestFit="1" customWidth="1"/>
    <col min="7168" max="7168" width="39.375" style="341" bestFit="1" customWidth="1"/>
    <col min="7169" max="7170" width="26.25" style="341" bestFit="1" customWidth="1"/>
    <col min="7171" max="7175" width="13.125" style="341" bestFit="1" customWidth="1"/>
    <col min="7176" max="7176" width="43.75" style="341" bestFit="1" customWidth="1"/>
    <col min="7177" max="7391" width="9" style="341"/>
    <col min="7392" max="7393" width="13.125" style="341" bestFit="1" customWidth="1"/>
    <col min="7394" max="7394" width="17.5" style="341" bestFit="1" customWidth="1"/>
    <col min="7395" max="7399" width="13.125" style="341" bestFit="1" customWidth="1"/>
    <col min="7400" max="7401" width="17.5" style="341" bestFit="1" customWidth="1"/>
    <col min="7402" max="7413" width="13.125" style="341" bestFit="1" customWidth="1"/>
    <col min="7414" max="7414" width="52.5" style="341" bestFit="1" customWidth="1"/>
    <col min="7415" max="7420" width="13.125" style="341" bestFit="1" customWidth="1"/>
    <col min="7421" max="7421" width="39.375" style="341" bestFit="1" customWidth="1"/>
    <col min="7422" max="7423" width="13.125" style="341" bestFit="1" customWidth="1"/>
    <col min="7424" max="7424" width="39.375" style="341" bestFit="1" customWidth="1"/>
    <col min="7425" max="7426" width="26.25" style="341" bestFit="1" customWidth="1"/>
    <col min="7427" max="7431" width="13.125" style="341" bestFit="1" customWidth="1"/>
    <col min="7432" max="7432" width="43.75" style="341" bestFit="1" customWidth="1"/>
    <col min="7433" max="7647" width="9" style="341"/>
    <col min="7648" max="7649" width="13.125" style="341" bestFit="1" customWidth="1"/>
    <col min="7650" max="7650" width="17.5" style="341" bestFit="1" customWidth="1"/>
    <col min="7651" max="7655" width="13.125" style="341" bestFit="1" customWidth="1"/>
    <col min="7656" max="7657" width="17.5" style="341" bestFit="1" customWidth="1"/>
    <col min="7658" max="7669" width="13.125" style="341" bestFit="1" customWidth="1"/>
    <col min="7670" max="7670" width="52.5" style="341" bestFit="1" customWidth="1"/>
    <col min="7671" max="7676" width="13.125" style="341" bestFit="1" customWidth="1"/>
    <col min="7677" max="7677" width="39.375" style="341" bestFit="1" customWidth="1"/>
    <col min="7678" max="7679" width="13.125" style="341" bestFit="1" customWidth="1"/>
    <col min="7680" max="7680" width="39.375" style="341" bestFit="1" customWidth="1"/>
    <col min="7681" max="7682" width="26.25" style="341" bestFit="1" customWidth="1"/>
    <col min="7683" max="7687" width="13.125" style="341" bestFit="1" customWidth="1"/>
    <col min="7688" max="7688" width="43.75" style="341" bestFit="1" customWidth="1"/>
    <col min="7689" max="7903" width="9" style="341"/>
    <col min="7904" max="7905" width="13.125" style="341" bestFit="1" customWidth="1"/>
    <col min="7906" max="7906" width="17.5" style="341" bestFit="1" customWidth="1"/>
    <col min="7907" max="7911" width="13.125" style="341" bestFit="1" customWidth="1"/>
    <col min="7912" max="7913" width="17.5" style="341" bestFit="1" customWidth="1"/>
    <col min="7914" max="7925" width="13.125" style="341" bestFit="1" customWidth="1"/>
    <col min="7926" max="7926" width="52.5" style="341" bestFit="1" customWidth="1"/>
    <col min="7927" max="7932" width="13.125" style="341" bestFit="1" customWidth="1"/>
    <col min="7933" max="7933" width="39.375" style="341" bestFit="1" customWidth="1"/>
    <col min="7934" max="7935" width="13.125" style="341" bestFit="1" customWidth="1"/>
    <col min="7936" max="7936" width="39.375" style="341" bestFit="1" customWidth="1"/>
    <col min="7937" max="7938" width="26.25" style="341" bestFit="1" customWidth="1"/>
    <col min="7939" max="7943" width="13.125" style="341" bestFit="1" customWidth="1"/>
    <col min="7944" max="7944" width="43.75" style="341" bestFit="1" customWidth="1"/>
    <col min="7945" max="8159" width="9" style="341"/>
    <col min="8160" max="8161" width="13.125" style="341" bestFit="1" customWidth="1"/>
    <col min="8162" max="8162" width="17.5" style="341" bestFit="1" customWidth="1"/>
    <col min="8163" max="8167" width="13.125" style="341" bestFit="1" customWidth="1"/>
    <col min="8168" max="8169" width="17.5" style="341" bestFit="1" customWidth="1"/>
    <col min="8170" max="8181" width="13.125" style="341" bestFit="1" customWidth="1"/>
    <col min="8182" max="8182" width="52.5" style="341" bestFit="1" customWidth="1"/>
    <col min="8183" max="8188" width="13.125" style="341" bestFit="1" customWidth="1"/>
    <col min="8189" max="8189" width="39.375" style="341" bestFit="1" customWidth="1"/>
    <col min="8190" max="8191" width="13.125" style="341" bestFit="1" customWidth="1"/>
    <col min="8192" max="8192" width="39.375" style="341" bestFit="1" customWidth="1"/>
    <col min="8193" max="8194" width="26.25" style="341" bestFit="1" customWidth="1"/>
    <col min="8195" max="8199" width="13.125" style="341" bestFit="1" customWidth="1"/>
    <col min="8200" max="8200" width="43.75" style="341" bestFit="1" customWidth="1"/>
    <col min="8201" max="8415" width="9" style="341"/>
    <col min="8416" max="8417" width="13.125" style="341" bestFit="1" customWidth="1"/>
    <col min="8418" max="8418" width="17.5" style="341" bestFit="1" customWidth="1"/>
    <col min="8419" max="8423" width="13.125" style="341" bestFit="1" customWidth="1"/>
    <col min="8424" max="8425" width="17.5" style="341" bestFit="1" customWidth="1"/>
    <col min="8426" max="8437" width="13.125" style="341" bestFit="1" customWidth="1"/>
    <col min="8438" max="8438" width="52.5" style="341" bestFit="1" customWidth="1"/>
    <col min="8439" max="8444" width="13.125" style="341" bestFit="1" customWidth="1"/>
    <col min="8445" max="8445" width="39.375" style="341" bestFit="1" customWidth="1"/>
    <col min="8446" max="8447" width="13.125" style="341" bestFit="1" customWidth="1"/>
    <col min="8448" max="8448" width="39.375" style="341" bestFit="1" customWidth="1"/>
    <col min="8449" max="8450" width="26.25" style="341" bestFit="1" customWidth="1"/>
    <col min="8451" max="8455" width="13.125" style="341" bestFit="1" customWidth="1"/>
    <col min="8456" max="8456" width="43.75" style="341" bestFit="1" customWidth="1"/>
    <col min="8457" max="8671" width="9" style="341"/>
    <col min="8672" max="8673" width="13.125" style="341" bestFit="1" customWidth="1"/>
    <col min="8674" max="8674" width="17.5" style="341" bestFit="1" customWidth="1"/>
    <col min="8675" max="8679" width="13.125" style="341" bestFit="1" customWidth="1"/>
    <col min="8680" max="8681" width="17.5" style="341" bestFit="1" customWidth="1"/>
    <col min="8682" max="8693" width="13.125" style="341" bestFit="1" customWidth="1"/>
    <col min="8694" max="8694" width="52.5" style="341" bestFit="1" customWidth="1"/>
    <col min="8695" max="8700" width="13.125" style="341" bestFit="1" customWidth="1"/>
    <col min="8701" max="8701" width="39.375" style="341" bestFit="1" customWidth="1"/>
    <col min="8702" max="8703" width="13.125" style="341" bestFit="1" customWidth="1"/>
    <col min="8704" max="8704" width="39.375" style="341" bestFit="1" customWidth="1"/>
    <col min="8705" max="8706" width="26.25" style="341" bestFit="1" customWidth="1"/>
    <col min="8707" max="8711" width="13.125" style="341" bestFit="1" customWidth="1"/>
    <col min="8712" max="8712" width="43.75" style="341" bestFit="1" customWidth="1"/>
    <col min="8713" max="8927" width="9" style="341"/>
    <col min="8928" max="8929" width="13.125" style="341" bestFit="1" customWidth="1"/>
    <col min="8930" max="8930" width="17.5" style="341" bestFit="1" customWidth="1"/>
    <col min="8931" max="8935" width="13.125" style="341" bestFit="1" customWidth="1"/>
    <col min="8936" max="8937" width="17.5" style="341" bestFit="1" customWidth="1"/>
    <col min="8938" max="8949" width="13.125" style="341" bestFit="1" customWidth="1"/>
    <col min="8950" max="8950" width="52.5" style="341" bestFit="1" customWidth="1"/>
    <col min="8951" max="8956" width="13.125" style="341" bestFit="1" customWidth="1"/>
    <col min="8957" max="8957" width="39.375" style="341" bestFit="1" customWidth="1"/>
    <col min="8958" max="8959" width="13.125" style="341" bestFit="1" customWidth="1"/>
    <col min="8960" max="8960" width="39.375" style="341" bestFit="1" customWidth="1"/>
    <col min="8961" max="8962" width="26.25" style="341" bestFit="1" customWidth="1"/>
    <col min="8963" max="8967" width="13.125" style="341" bestFit="1" customWidth="1"/>
    <col min="8968" max="8968" width="43.75" style="341" bestFit="1" customWidth="1"/>
    <col min="8969" max="9183" width="9" style="341"/>
    <col min="9184" max="9185" width="13.125" style="341" bestFit="1" customWidth="1"/>
    <col min="9186" max="9186" width="17.5" style="341" bestFit="1" customWidth="1"/>
    <col min="9187" max="9191" width="13.125" style="341" bestFit="1" customWidth="1"/>
    <col min="9192" max="9193" width="17.5" style="341" bestFit="1" customWidth="1"/>
    <col min="9194" max="9205" width="13.125" style="341" bestFit="1" customWidth="1"/>
    <col min="9206" max="9206" width="52.5" style="341" bestFit="1" customWidth="1"/>
    <col min="9207" max="9212" width="13.125" style="341" bestFit="1" customWidth="1"/>
    <col min="9213" max="9213" width="39.375" style="341" bestFit="1" customWidth="1"/>
    <col min="9214" max="9215" width="13.125" style="341" bestFit="1" customWidth="1"/>
    <col min="9216" max="9216" width="39.375" style="341" bestFit="1" customWidth="1"/>
    <col min="9217" max="9218" width="26.25" style="341" bestFit="1" customWidth="1"/>
    <col min="9219" max="9223" width="13.125" style="341" bestFit="1" customWidth="1"/>
    <col min="9224" max="9224" width="43.75" style="341" bestFit="1" customWidth="1"/>
    <col min="9225" max="9439" width="9" style="341"/>
    <col min="9440" max="9441" width="13.125" style="341" bestFit="1" customWidth="1"/>
    <col min="9442" max="9442" width="17.5" style="341" bestFit="1" customWidth="1"/>
    <col min="9443" max="9447" width="13.125" style="341" bestFit="1" customWidth="1"/>
    <col min="9448" max="9449" width="17.5" style="341" bestFit="1" customWidth="1"/>
    <col min="9450" max="9461" width="13.125" style="341" bestFit="1" customWidth="1"/>
    <col min="9462" max="9462" width="52.5" style="341" bestFit="1" customWidth="1"/>
    <col min="9463" max="9468" width="13.125" style="341" bestFit="1" customWidth="1"/>
    <col min="9469" max="9469" width="39.375" style="341" bestFit="1" customWidth="1"/>
    <col min="9470" max="9471" width="13.125" style="341" bestFit="1" customWidth="1"/>
    <col min="9472" max="9472" width="39.375" style="341" bestFit="1" customWidth="1"/>
    <col min="9473" max="9474" width="26.25" style="341" bestFit="1" customWidth="1"/>
    <col min="9475" max="9479" width="13.125" style="341" bestFit="1" customWidth="1"/>
    <col min="9480" max="9480" width="43.75" style="341" bestFit="1" customWidth="1"/>
    <col min="9481" max="9695" width="9" style="341"/>
    <col min="9696" max="9697" width="13.125" style="341" bestFit="1" customWidth="1"/>
    <col min="9698" max="9698" width="17.5" style="341" bestFit="1" customWidth="1"/>
    <col min="9699" max="9703" width="13.125" style="341" bestFit="1" customWidth="1"/>
    <col min="9704" max="9705" width="17.5" style="341" bestFit="1" customWidth="1"/>
    <col min="9706" max="9717" width="13.125" style="341" bestFit="1" customWidth="1"/>
    <col min="9718" max="9718" width="52.5" style="341" bestFit="1" customWidth="1"/>
    <col min="9719" max="9724" width="13.125" style="341" bestFit="1" customWidth="1"/>
    <col min="9725" max="9725" width="39.375" style="341" bestFit="1" customWidth="1"/>
    <col min="9726" max="9727" width="13.125" style="341" bestFit="1" customWidth="1"/>
    <col min="9728" max="9728" width="39.375" style="341" bestFit="1" customWidth="1"/>
    <col min="9729" max="9730" width="26.25" style="341" bestFit="1" customWidth="1"/>
    <col min="9731" max="9735" width="13.125" style="341" bestFit="1" customWidth="1"/>
    <col min="9736" max="9736" width="43.75" style="341" bestFit="1" customWidth="1"/>
    <col min="9737" max="9951" width="9" style="341"/>
    <col min="9952" max="9953" width="13.125" style="341" bestFit="1" customWidth="1"/>
    <col min="9954" max="9954" width="17.5" style="341" bestFit="1" customWidth="1"/>
    <col min="9955" max="9959" width="13.125" style="341" bestFit="1" customWidth="1"/>
    <col min="9960" max="9961" width="17.5" style="341" bestFit="1" customWidth="1"/>
    <col min="9962" max="9973" width="13.125" style="341" bestFit="1" customWidth="1"/>
    <col min="9974" max="9974" width="52.5" style="341" bestFit="1" customWidth="1"/>
    <col min="9975" max="9980" width="13.125" style="341" bestFit="1" customWidth="1"/>
    <col min="9981" max="9981" width="39.375" style="341" bestFit="1" customWidth="1"/>
    <col min="9982" max="9983" width="13.125" style="341" bestFit="1" customWidth="1"/>
    <col min="9984" max="9984" width="39.375" style="341" bestFit="1" customWidth="1"/>
    <col min="9985" max="9986" width="26.25" style="341" bestFit="1" customWidth="1"/>
    <col min="9987" max="9991" width="13.125" style="341" bestFit="1" customWidth="1"/>
    <col min="9992" max="9992" width="43.75" style="341" bestFit="1" customWidth="1"/>
    <col min="9993" max="10207" width="9" style="341"/>
    <col min="10208" max="10209" width="13.125" style="341" bestFit="1" customWidth="1"/>
    <col min="10210" max="10210" width="17.5" style="341" bestFit="1" customWidth="1"/>
    <col min="10211" max="10215" width="13.125" style="341" bestFit="1" customWidth="1"/>
    <col min="10216" max="10217" width="17.5" style="341" bestFit="1" customWidth="1"/>
    <col min="10218" max="10229" width="13.125" style="341" bestFit="1" customWidth="1"/>
    <col min="10230" max="10230" width="52.5" style="341" bestFit="1" customWidth="1"/>
    <col min="10231" max="10236" width="13.125" style="341" bestFit="1" customWidth="1"/>
    <col min="10237" max="10237" width="39.375" style="341" bestFit="1" customWidth="1"/>
    <col min="10238" max="10239" width="13.125" style="341" bestFit="1" customWidth="1"/>
    <col min="10240" max="10240" width="39.375" style="341" bestFit="1" customWidth="1"/>
    <col min="10241" max="10242" width="26.25" style="341" bestFit="1" customWidth="1"/>
    <col min="10243" max="10247" width="13.125" style="341" bestFit="1" customWidth="1"/>
    <col min="10248" max="10248" width="43.75" style="341" bestFit="1" customWidth="1"/>
    <col min="10249" max="10463" width="9" style="341"/>
    <col min="10464" max="10465" width="13.125" style="341" bestFit="1" customWidth="1"/>
    <col min="10466" max="10466" width="17.5" style="341" bestFit="1" customWidth="1"/>
    <col min="10467" max="10471" width="13.125" style="341" bestFit="1" customWidth="1"/>
    <col min="10472" max="10473" width="17.5" style="341" bestFit="1" customWidth="1"/>
    <col min="10474" max="10485" width="13.125" style="341" bestFit="1" customWidth="1"/>
    <col min="10486" max="10486" width="52.5" style="341" bestFit="1" customWidth="1"/>
    <col min="10487" max="10492" width="13.125" style="341" bestFit="1" customWidth="1"/>
    <col min="10493" max="10493" width="39.375" style="341" bestFit="1" customWidth="1"/>
    <col min="10494" max="10495" width="13.125" style="341" bestFit="1" customWidth="1"/>
    <col min="10496" max="10496" width="39.375" style="341" bestFit="1" customWidth="1"/>
    <col min="10497" max="10498" width="26.25" style="341" bestFit="1" customWidth="1"/>
    <col min="10499" max="10503" width="13.125" style="341" bestFit="1" customWidth="1"/>
    <col min="10504" max="10504" width="43.75" style="341" bestFit="1" customWidth="1"/>
    <col min="10505" max="10719" width="9" style="341"/>
    <col min="10720" max="10721" width="13.125" style="341" bestFit="1" customWidth="1"/>
    <col min="10722" max="10722" width="17.5" style="341" bestFit="1" customWidth="1"/>
    <col min="10723" max="10727" width="13.125" style="341" bestFit="1" customWidth="1"/>
    <col min="10728" max="10729" width="17.5" style="341" bestFit="1" customWidth="1"/>
    <col min="10730" max="10741" width="13.125" style="341" bestFit="1" customWidth="1"/>
    <col min="10742" max="10742" width="52.5" style="341" bestFit="1" customWidth="1"/>
    <col min="10743" max="10748" width="13.125" style="341" bestFit="1" customWidth="1"/>
    <col min="10749" max="10749" width="39.375" style="341" bestFit="1" customWidth="1"/>
    <col min="10750" max="10751" width="13.125" style="341" bestFit="1" customWidth="1"/>
    <col min="10752" max="10752" width="39.375" style="341" bestFit="1" customWidth="1"/>
    <col min="10753" max="10754" width="26.25" style="341" bestFit="1" customWidth="1"/>
    <col min="10755" max="10759" width="13.125" style="341" bestFit="1" customWidth="1"/>
    <col min="10760" max="10760" width="43.75" style="341" bestFit="1" customWidth="1"/>
    <col min="10761" max="10975" width="9" style="341"/>
    <col min="10976" max="10977" width="13.125" style="341" bestFit="1" customWidth="1"/>
    <col min="10978" max="10978" width="17.5" style="341" bestFit="1" customWidth="1"/>
    <col min="10979" max="10983" width="13.125" style="341" bestFit="1" customWidth="1"/>
    <col min="10984" max="10985" width="17.5" style="341" bestFit="1" customWidth="1"/>
    <col min="10986" max="10997" width="13.125" style="341" bestFit="1" customWidth="1"/>
    <col min="10998" max="10998" width="52.5" style="341" bestFit="1" customWidth="1"/>
    <col min="10999" max="11004" width="13.125" style="341" bestFit="1" customWidth="1"/>
    <col min="11005" max="11005" width="39.375" style="341" bestFit="1" customWidth="1"/>
    <col min="11006" max="11007" width="13.125" style="341" bestFit="1" customWidth="1"/>
    <col min="11008" max="11008" width="39.375" style="341" bestFit="1" customWidth="1"/>
    <col min="11009" max="11010" width="26.25" style="341" bestFit="1" customWidth="1"/>
    <col min="11011" max="11015" width="13.125" style="341" bestFit="1" customWidth="1"/>
    <col min="11016" max="11016" width="43.75" style="341" bestFit="1" customWidth="1"/>
    <col min="11017" max="11231" width="9" style="341"/>
    <col min="11232" max="11233" width="13.125" style="341" bestFit="1" customWidth="1"/>
    <col min="11234" max="11234" width="17.5" style="341" bestFit="1" customWidth="1"/>
    <col min="11235" max="11239" width="13.125" style="341" bestFit="1" customWidth="1"/>
    <col min="11240" max="11241" width="17.5" style="341" bestFit="1" customWidth="1"/>
    <col min="11242" max="11253" width="13.125" style="341" bestFit="1" customWidth="1"/>
    <col min="11254" max="11254" width="52.5" style="341" bestFit="1" customWidth="1"/>
    <col min="11255" max="11260" width="13.125" style="341" bestFit="1" customWidth="1"/>
    <col min="11261" max="11261" width="39.375" style="341" bestFit="1" customWidth="1"/>
    <col min="11262" max="11263" width="13.125" style="341" bestFit="1" customWidth="1"/>
    <col min="11264" max="11264" width="39.375" style="341" bestFit="1" customWidth="1"/>
    <col min="11265" max="11266" width="26.25" style="341" bestFit="1" customWidth="1"/>
    <col min="11267" max="11271" width="13.125" style="341" bestFit="1" customWidth="1"/>
    <col min="11272" max="11272" width="43.75" style="341" bestFit="1" customWidth="1"/>
    <col min="11273" max="11487" width="9" style="341"/>
    <col min="11488" max="11489" width="13.125" style="341" bestFit="1" customWidth="1"/>
    <col min="11490" max="11490" width="17.5" style="341" bestFit="1" customWidth="1"/>
    <col min="11491" max="11495" width="13.125" style="341" bestFit="1" customWidth="1"/>
    <col min="11496" max="11497" width="17.5" style="341" bestFit="1" customWidth="1"/>
    <col min="11498" max="11509" width="13.125" style="341" bestFit="1" customWidth="1"/>
    <col min="11510" max="11510" width="52.5" style="341" bestFit="1" customWidth="1"/>
    <col min="11511" max="11516" width="13.125" style="341" bestFit="1" customWidth="1"/>
    <col min="11517" max="11517" width="39.375" style="341" bestFit="1" customWidth="1"/>
    <col min="11518" max="11519" width="13.125" style="341" bestFit="1" customWidth="1"/>
    <col min="11520" max="11520" width="39.375" style="341" bestFit="1" customWidth="1"/>
    <col min="11521" max="11522" width="26.25" style="341" bestFit="1" customWidth="1"/>
    <col min="11523" max="11527" width="13.125" style="341" bestFit="1" customWidth="1"/>
    <col min="11528" max="11528" width="43.75" style="341" bestFit="1" customWidth="1"/>
    <col min="11529" max="11743" width="9" style="341"/>
    <col min="11744" max="11745" width="13.125" style="341" bestFit="1" customWidth="1"/>
    <col min="11746" max="11746" width="17.5" style="341" bestFit="1" customWidth="1"/>
    <col min="11747" max="11751" width="13.125" style="341" bestFit="1" customWidth="1"/>
    <col min="11752" max="11753" width="17.5" style="341" bestFit="1" customWidth="1"/>
    <col min="11754" max="11765" width="13.125" style="341" bestFit="1" customWidth="1"/>
    <col min="11766" max="11766" width="52.5" style="341" bestFit="1" customWidth="1"/>
    <col min="11767" max="11772" width="13.125" style="341" bestFit="1" customWidth="1"/>
    <col min="11773" max="11773" width="39.375" style="341" bestFit="1" customWidth="1"/>
    <col min="11774" max="11775" width="13.125" style="341" bestFit="1" customWidth="1"/>
    <col min="11776" max="11776" width="39.375" style="341" bestFit="1" customWidth="1"/>
    <col min="11777" max="11778" width="26.25" style="341" bestFit="1" customWidth="1"/>
    <col min="11779" max="11783" width="13.125" style="341" bestFit="1" customWidth="1"/>
    <col min="11784" max="11784" width="43.75" style="341" bestFit="1" customWidth="1"/>
    <col min="11785" max="11999" width="9" style="341"/>
    <col min="12000" max="12001" width="13.125" style="341" bestFit="1" customWidth="1"/>
    <col min="12002" max="12002" width="17.5" style="341" bestFit="1" customWidth="1"/>
    <col min="12003" max="12007" width="13.125" style="341" bestFit="1" customWidth="1"/>
    <col min="12008" max="12009" width="17.5" style="341" bestFit="1" customWidth="1"/>
    <col min="12010" max="12021" width="13.125" style="341" bestFit="1" customWidth="1"/>
    <col min="12022" max="12022" width="52.5" style="341" bestFit="1" customWidth="1"/>
    <col min="12023" max="12028" width="13.125" style="341" bestFit="1" customWidth="1"/>
    <col min="12029" max="12029" width="39.375" style="341" bestFit="1" customWidth="1"/>
    <col min="12030" max="12031" width="13.125" style="341" bestFit="1" customWidth="1"/>
    <col min="12032" max="12032" width="39.375" style="341" bestFit="1" customWidth="1"/>
    <col min="12033" max="12034" width="26.25" style="341" bestFit="1" customWidth="1"/>
    <col min="12035" max="12039" width="13.125" style="341" bestFit="1" customWidth="1"/>
    <col min="12040" max="12040" width="43.75" style="341" bestFit="1" customWidth="1"/>
    <col min="12041" max="12255" width="9" style="341"/>
    <col min="12256" max="12257" width="13.125" style="341" bestFit="1" customWidth="1"/>
    <col min="12258" max="12258" width="17.5" style="341" bestFit="1" customWidth="1"/>
    <col min="12259" max="12263" width="13.125" style="341" bestFit="1" customWidth="1"/>
    <col min="12264" max="12265" width="17.5" style="341" bestFit="1" customWidth="1"/>
    <col min="12266" max="12277" width="13.125" style="341" bestFit="1" customWidth="1"/>
    <col min="12278" max="12278" width="52.5" style="341" bestFit="1" customWidth="1"/>
    <col min="12279" max="12284" width="13.125" style="341" bestFit="1" customWidth="1"/>
    <col min="12285" max="12285" width="39.375" style="341" bestFit="1" customWidth="1"/>
    <col min="12286" max="12287" width="13.125" style="341" bestFit="1" customWidth="1"/>
    <col min="12288" max="12288" width="39.375" style="341" bestFit="1" customWidth="1"/>
    <col min="12289" max="12290" width="26.25" style="341" bestFit="1" customWidth="1"/>
    <col min="12291" max="12295" width="13.125" style="341" bestFit="1" customWidth="1"/>
    <col min="12296" max="12296" width="43.75" style="341" bestFit="1" customWidth="1"/>
    <col min="12297" max="12511" width="9" style="341"/>
    <col min="12512" max="12513" width="13.125" style="341" bestFit="1" customWidth="1"/>
    <col min="12514" max="12514" width="17.5" style="341" bestFit="1" customWidth="1"/>
    <col min="12515" max="12519" width="13.125" style="341" bestFit="1" customWidth="1"/>
    <col min="12520" max="12521" width="17.5" style="341" bestFit="1" customWidth="1"/>
    <col min="12522" max="12533" width="13.125" style="341" bestFit="1" customWidth="1"/>
    <col min="12534" max="12534" width="52.5" style="341" bestFit="1" customWidth="1"/>
    <col min="12535" max="12540" width="13.125" style="341" bestFit="1" customWidth="1"/>
    <col min="12541" max="12541" width="39.375" style="341" bestFit="1" customWidth="1"/>
    <col min="12542" max="12543" width="13.125" style="341" bestFit="1" customWidth="1"/>
    <col min="12544" max="12544" width="39.375" style="341" bestFit="1" customWidth="1"/>
    <col min="12545" max="12546" width="26.25" style="341" bestFit="1" customWidth="1"/>
    <col min="12547" max="12551" width="13.125" style="341" bestFit="1" customWidth="1"/>
    <col min="12552" max="12552" width="43.75" style="341" bestFit="1" customWidth="1"/>
    <col min="12553" max="12767" width="9" style="341"/>
    <col min="12768" max="12769" width="13.125" style="341" bestFit="1" customWidth="1"/>
    <col min="12770" max="12770" width="17.5" style="341" bestFit="1" customWidth="1"/>
    <col min="12771" max="12775" width="13.125" style="341" bestFit="1" customWidth="1"/>
    <col min="12776" max="12777" width="17.5" style="341" bestFit="1" customWidth="1"/>
    <col min="12778" max="12789" width="13.125" style="341" bestFit="1" customWidth="1"/>
    <col min="12790" max="12790" width="52.5" style="341" bestFit="1" customWidth="1"/>
    <col min="12791" max="12796" width="13.125" style="341" bestFit="1" customWidth="1"/>
    <col min="12797" max="12797" width="39.375" style="341" bestFit="1" customWidth="1"/>
    <col min="12798" max="12799" width="13.125" style="341" bestFit="1" customWidth="1"/>
    <col min="12800" max="12800" width="39.375" style="341" bestFit="1" customWidth="1"/>
    <col min="12801" max="12802" width="26.25" style="341" bestFit="1" customWidth="1"/>
    <col min="12803" max="12807" width="13.125" style="341" bestFit="1" customWidth="1"/>
    <col min="12808" max="12808" width="43.75" style="341" bestFit="1" customWidth="1"/>
    <col min="12809" max="13023" width="9" style="341"/>
    <col min="13024" max="13025" width="13.125" style="341" bestFit="1" customWidth="1"/>
    <col min="13026" max="13026" width="17.5" style="341" bestFit="1" customWidth="1"/>
    <col min="13027" max="13031" width="13.125" style="341" bestFit="1" customWidth="1"/>
    <col min="13032" max="13033" width="17.5" style="341" bestFit="1" customWidth="1"/>
    <col min="13034" max="13045" width="13.125" style="341" bestFit="1" customWidth="1"/>
    <col min="13046" max="13046" width="52.5" style="341" bestFit="1" customWidth="1"/>
    <col min="13047" max="13052" width="13.125" style="341" bestFit="1" customWidth="1"/>
    <col min="13053" max="13053" width="39.375" style="341" bestFit="1" customWidth="1"/>
    <col min="13054" max="13055" width="13.125" style="341" bestFit="1" customWidth="1"/>
    <col min="13056" max="13056" width="39.375" style="341" bestFit="1" customWidth="1"/>
    <col min="13057" max="13058" width="26.25" style="341" bestFit="1" customWidth="1"/>
    <col min="13059" max="13063" width="13.125" style="341" bestFit="1" customWidth="1"/>
    <col min="13064" max="13064" width="43.75" style="341" bestFit="1" customWidth="1"/>
    <col min="13065" max="13279" width="9" style="341"/>
    <col min="13280" max="13281" width="13.125" style="341" bestFit="1" customWidth="1"/>
    <col min="13282" max="13282" width="17.5" style="341" bestFit="1" customWidth="1"/>
    <col min="13283" max="13287" width="13.125" style="341" bestFit="1" customWidth="1"/>
    <col min="13288" max="13289" width="17.5" style="341" bestFit="1" customWidth="1"/>
    <col min="13290" max="13301" width="13.125" style="341" bestFit="1" customWidth="1"/>
    <col min="13302" max="13302" width="52.5" style="341" bestFit="1" customWidth="1"/>
    <col min="13303" max="13308" width="13.125" style="341" bestFit="1" customWidth="1"/>
    <col min="13309" max="13309" width="39.375" style="341" bestFit="1" customWidth="1"/>
    <col min="13310" max="13311" width="13.125" style="341" bestFit="1" customWidth="1"/>
    <col min="13312" max="13312" width="39.375" style="341" bestFit="1" customWidth="1"/>
    <col min="13313" max="13314" width="26.25" style="341" bestFit="1" customWidth="1"/>
    <col min="13315" max="13319" width="13.125" style="341" bestFit="1" customWidth="1"/>
    <col min="13320" max="13320" width="43.75" style="341" bestFit="1" customWidth="1"/>
    <col min="13321" max="13535" width="9" style="341"/>
    <col min="13536" max="13537" width="13.125" style="341" bestFit="1" customWidth="1"/>
    <col min="13538" max="13538" width="17.5" style="341" bestFit="1" customWidth="1"/>
    <col min="13539" max="13543" width="13.125" style="341" bestFit="1" customWidth="1"/>
    <col min="13544" max="13545" width="17.5" style="341" bestFit="1" customWidth="1"/>
    <col min="13546" max="13557" width="13.125" style="341" bestFit="1" customWidth="1"/>
    <col min="13558" max="13558" width="52.5" style="341" bestFit="1" customWidth="1"/>
    <col min="13559" max="13564" width="13.125" style="341" bestFit="1" customWidth="1"/>
    <col min="13565" max="13565" width="39.375" style="341" bestFit="1" customWidth="1"/>
    <col min="13566" max="13567" width="13.125" style="341" bestFit="1" customWidth="1"/>
    <col min="13568" max="13568" width="39.375" style="341" bestFit="1" customWidth="1"/>
    <col min="13569" max="13570" width="26.25" style="341" bestFit="1" customWidth="1"/>
    <col min="13571" max="13575" width="13.125" style="341" bestFit="1" customWidth="1"/>
    <col min="13576" max="13576" width="43.75" style="341" bestFit="1" customWidth="1"/>
    <col min="13577" max="13791" width="9" style="341"/>
    <col min="13792" max="13793" width="13.125" style="341" bestFit="1" customWidth="1"/>
    <col min="13794" max="13794" width="17.5" style="341" bestFit="1" customWidth="1"/>
    <col min="13795" max="13799" width="13.125" style="341" bestFit="1" customWidth="1"/>
    <col min="13800" max="13801" width="17.5" style="341" bestFit="1" customWidth="1"/>
    <col min="13802" max="13813" width="13.125" style="341" bestFit="1" customWidth="1"/>
    <col min="13814" max="13814" width="52.5" style="341" bestFit="1" customWidth="1"/>
    <col min="13815" max="13820" width="13.125" style="341" bestFit="1" customWidth="1"/>
    <col min="13821" max="13821" width="39.375" style="341" bestFit="1" customWidth="1"/>
    <col min="13822" max="13823" width="13.125" style="341" bestFit="1" customWidth="1"/>
    <col min="13824" max="13824" width="39.375" style="341" bestFit="1" customWidth="1"/>
    <col min="13825" max="13826" width="26.25" style="341" bestFit="1" customWidth="1"/>
    <col min="13827" max="13831" width="13.125" style="341" bestFit="1" customWidth="1"/>
    <col min="13832" max="13832" width="43.75" style="341" bestFit="1" customWidth="1"/>
    <col min="13833" max="14047" width="9" style="341"/>
    <col min="14048" max="14049" width="13.125" style="341" bestFit="1" customWidth="1"/>
    <col min="14050" max="14050" width="17.5" style="341" bestFit="1" customWidth="1"/>
    <col min="14051" max="14055" width="13.125" style="341" bestFit="1" customWidth="1"/>
    <col min="14056" max="14057" width="17.5" style="341" bestFit="1" customWidth="1"/>
    <col min="14058" max="14069" width="13.125" style="341" bestFit="1" customWidth="1"/>
    <col min="14070" max="14070" width="52.5" style="341" bestFit="1" customWidth="1"/>
    <col min="14071" max="14076" width="13.125" style="341" bestFit="1" customWidth="1"/>
    <col min="14077" max="14077" width="39.375" style="341" bestFit="1" customWidth="1"/>
    <col min="14078" max="14079" width="13.125" style="341" bestFit="1" customWidth="1"/>
    <col min="14080" max="14080" width="39.375" style="341" bestFit="1" customWidth="1"/>
    <col min="14081" max="14082" width="26.25" style="341" bestFit="1" customWidth="1"/>
    <col min="14083" max="14087" width="13.125" style="341" bestFit="1" customWidth="1"/>
    <col min="14088" max="14088" width="43.75" style="341" bestFit="1" customWidth="1"/>
    <col min="14089" max="14303" width="9" style="341"/>
    <col min="14304" max="14305" width="13.125" style="341" bestFit="1" customWidth="1"/>
    <col min="14306" max="14306" width="17.5" style="341" bestFit="1" customWidth="1"/>
    <col min="14307" max="14311" width="13.125" style="341" bestFit="1" customWidth="1"/>
    <col min="14312" max="14313" width="17.5" style="341" bestFit="1" customWidth="1"/>
    <col min="14314" max="14325" width="13.125" style="341" bestFit="1" customWidth="1"/>
    <col min="14326" max="14326" width="52.5" style="341" bestFit="1" customWidth="1"/>
    <col min="14327" max="14332" width="13.125" style="341" bestFit="1" customWidth="1"/>
    <col min="14333" max="14333" width="39.375" style="341" bestFit="1" customWidth="1"/>
    <col min="14334" max="14335" width="13.125" style="341" bestFit="1" customWidth="1"/>
    <col min="14336" max="14336" width="39.375" style="341" bestFit="1" customWidth="1"/>
    <col min="14337" max="14338" width="26.25" style="341" bestFit="1" customWidth="1"/>
    <col min="14339" max="14343" width="13.125" style="341" bestFit="1" customWidth="1"/>
    <col min="14344" max="14344" width="43.75" style="341" bestFit="1" customWidth="1"/>
    <col min="14345" max="14559" width="9" style="341"/>
    <col min="14560" max="14561" width="13.125" style="341" bestFit="1" customWidth="1"/>
    <col min="14562" max="14562" width="17.5" style="341" bestFit="1" customWidth="1"/>
    <col min="14563" max="14567" width="13.125" style="341" bestFit="1" customWidth="1"/>
    <col min="14568" max="14569" width="17.5" style="341" bestFit="1" customWidth="1"/>
    <col min="14570" max="14581" width="13.125" style="341" bestFit="1" customWidth="1"/>
    <col min="14582" max="14582" width="52.5" style="341" bestFit="1" customWidth="1"/>
    <col min="14583" max="14588" width="13.125" style="341" bestFit="1" customWidth="1"/>
    <col min="14589" max="14589" width="39.375" style="341" bestFit="1" customWidth="1"/>
    <col min="14590" max="14591" width="13.125" style="341" bestFit="1" customWidth="1"/>
    <col min="14592" max="14592" width="39.375" style="341" bestFit="1" customWidth="1"/>
    <col min="14593" max="14594" width="26.25" style="341" bestFit="1" customWidth="1"/>
    <col min="14595" max="14599" width="13.125" style="341" bestFit="1" customWidth="1"/>
    <col min="14600" max="14600" width="43.75" style="341" bestFit="1" customWidth="1"/>
    <col min="14601" max="16384" width="9" style="341"/>
  </cols>
  <sheetData>
    <row r="1" spans="1:35" ht="31.5" customHeight="1">
      <c r="A1" s="342" t="s">
        <v>2507</v>
      </c>
      <c r="B1" s="342" t="s">
        <v>2508</v>
      </c>
      <c r="C1" s="342" t="s">
        <v>2509</v>
      </c>
      <c r="D1" s="342" t="s">
        <v>2510</v>
      </c>
      <c r="E1" s="342" t="s">
        <v>2511</v>
      </c>
      <c r="F1" s="342" t="s">
        <v>2512</v>
      </c>
      <c r="G1" s="342" t="s">
        <v>2513</v>
      </c>
      <c r="H1" s="341" t="s">
        <v>2965</v>
      </c>
      <c r="I1" s="341" t="s">
        <v>2481</v>
      </c>
      <c r="J1" s="341" t="s">
        <v>2966</v>
      </c>
      <c r="K1" s="341" t="s">
        <v>2967</v>
      </c>
      <c r="L1" s="341" t="s">
        <v>2977</v>
      </c>
      <c r="M1" s="341" t="s">
        <v>2978</v>
      </c>
      <c r="Z1" s="32"/>
      <c r="AA1" s="32"/>
      <c r="AB1" s="32"/>
      <c r="AC1" s="32"/>
      <c r="AD1" s="32"/>
      <c r="AE1" s="32"/>
      <c r="AF1" s="32"/>
      <c r="AG1" s="32"/>
      <c r="AH1" s="32"/>
      <c r="AI1" s="32"/>
    </row>
    <row r="2" spans="1:35" ht="30" customHeight="1">
      <c r="A2" s="342" t="s">
        <v>2514</v>
      </c>
      <c r="B2" s="342" t="s">
        <v>2499</v>
      </c>
      <c r="C2" s="342">
        <v>12173</v>
      </c>
      <c r="D2" s="343">
        <v>41340.000002997687</v>
      </c>
      <c r="E2" s="343">
        <v>43166.00000299768</v>
      </c>
      <c r="F2" s="344">
        <v>1000000000</v>
      </c>
      <c r="G2" s="344">
        <v>460800000</v>
      </c>
      <c r="H2" s="341">
        <v>103.2</v>
      </c>
      <c r="I2" s="341">
        <v>10.9</v>
      </c>
      <c r="J2" s="341">
        <f>VLOOKUP(1217,收盤價!A:C,3,0)</f>
        <v>9</v>
      </c>
      <c r="K2" s="341">
        <v>9174</v>
      </c>
      <c r="L2" s="341">
        <v>100</v>
      </c>
      <c r="M2" s="354">
        <v>-3.1E-2</v>
      </c>
      <c r="Z2" s="32"/>
      <c r="AA2" s="32" t="s">
        <v>2973</v>
      </c>
      <c r="AB2" s="32"/>
      <c r="AC2" s="32"/>
      <c r="AD2" s="32"/>
      <c r="AE2" s="32"/>
      <c r="AF2" s="32"/>
      <c r="AG2" s="32"/>
      <c r="AH2" s="32"/>
      <c r="AI2" s="32"/>
    </row>
    <row r="3" spans="1:35">
      <c r="A3" s="342" t="s">
        <v>2514</v>
      </c>
      <c r="B3" s="342" t="s">
        <v>2499</v>
      </c>
      <c r="C3" s="342">
        <v>12172</v>
      </c>
      <c r="D3" s="343">
        <v>40675.000002997687</v>
      </c>
      <c r="E3" s="343">
        <v>42502.00000299768</v>
      </c>
      <c r="F3" s="344">
        <v>300000000</v>
      </c>
      <c r="G3" s="344">
        <v>1100000</v>
      </c>
      <c r="H3" s="341">
        <v>102</v>
      </c>
      <c r="I3" s="341">
        <v>13.7</v>
      </c>
      <c r="J3" s="341">
        <f>VLOOKUP(1217,收盤價!A:C,3,0)</f>
        <v>9</v>
      </c>
      <c r="K3" s="341">
        <v>7299</v>
      </c>
      <c r="L3" s="341">
        <v>100</v>
      </c>
      <c r="M3" s="354">
        <v>-1.9599999999999999E-2</v>
      </c>
      <c r="Z3" s="32"/>
      <c r="AA3" s="32" t="s">
        <v>2987</v>
      </c>
      <c r="AB3" s="32"/>
      <c r="AC3" s="32"/>
      <c r="AD3" s="32"/>
      <c r="AE3" s="32"/>
      <c r="AF3" s="32"/>
      <c r="AG3" s="32"/>
      <c r="AH3" s="32"/>
      <c r="AI3" s="32"/>
    </row>
    <row r="4" spans="1:35">
      <c r="A4" s="342" t="s">
        <v>2516</v>
      </c>
      <c r="B4" s="342" t="s">
        <v>2517</v>
      </c>
      <c r="C4" s="342">
        <v>12181</v>
      </c>
      <c r="D4" s="343">
        <v>41417.000002997687</v>
      </c>
      <c r="E4" s="343">
        <v>42513.00000299768</v>
      </c>
      <c r="F4" s="344">
        <v>500000000</v>
      </c>
      <c r="G4" s="344">
        <v>53100000</v>
      </c>
      <c r="H4" s="341">
        <v>99.75</v>
      </c>
      <c r="I4" s="341">
        <v>15.1</v>
      </c>
      <c r="J4" s="341">
        <f>VLOOKUP(1218,收盤價!A:C,3,0)</f>
        <v>11.9</v>
      </c>
      <c r="K4" s="341">
        <v>6623</v>
      </c>
      <c r="L4" s="341">
        <v>100</v>
      </c>
      <c r="M4" s="354">
        <v>2.5000000000000001E-3</v>
      </c>
      <c r="Z4" s="32"/>
      <c r="AA4" s="32" t="s">
        <v>1956</v>
      </c>
      <c r="AB4" s="32">
        <v>115</v>
      </c>
      <c r="AC4" s="32" t="s">
        <v>2482</v>
      </c>
      <c r="AD4" s="32">
        <v>115</v>
      </c>
      <c r="AE4" s="32" t="s">
        <v>2483</v>
      </c>
      <c r="AF4" s="32">
        <v>115</v>
      </c>
      <c r="AG4" s="32" t="s">
        <v>2484</v>
      </c>
      <c r="AH4" s="32">
        <v>115</v>
      </c>
      <c r="AI4" s="32"/>
    </row>
    <row r="5" spans="1:35">
      <c r="A5" s="342" t="s">
        <v>2518</v>
      </c>
      <c r="B5" s="342" t="s">
        <v>1436</v>
      </c>
      <c r="C5" s="342">
        <v>12581</v>
      </c>
      <c r="D5" s="343">
        <v>42262.00000299768</v>
      </c>
      <c r="E5" s="343">
        <v>43358.00000299768</v>
      </c>
      <c r="F5" s="344">
        <v>250000000</v>
      </c>
      <c r="G5" s="344">
        <v>226500000</v>
      </c>
      <c r="H5" s="341">
        <v>107.4</v>
      </c>
      <c r="I5" s="341">
        <v>38.799999999999997</v>
      </c>
      <c r="J5" s="341">
        <f>VLOOKUP(1258,收盤價!A:C,3,0)</f>
        <v>39</v>
      </c>
      <c r="K5" s="341">
        <v>2577</v>
      </c>
      <c r="L5" s="341">
        <v>101.27609999999999</v>
      </c>
      <c r="M5" s="354">
        <v>-5.7000000000000002E-2</v>
      </c>
      <c r="Z5" s="32"/>
      <c r="AA5" s="32" t="s">
        <v>1953</v>
      </c>
      <c r="AB5" s="32">
        <v>-0.5</v>
      </c>
      <c r="AC5" s="32" t="s">
        <v>2485</v>
      </c>
      <c r="AD5" s="154">
        <v>-4.3E-3</v>
      </c>
      <c r="AE5" s="32" t="s">
        <v>2486</v>
      </c>
      <c r="AF5" s="32">
        <v>2</v>
      </c>
      <c r="AG5" s="32"/>
      <c r="AH5" s="32"/>
      <c r="AI5" s="32"/>
    </row>
    <row r="6" spans="1:35">
      <c r="A6" s="342" t="s">
        <v>2519</v>
      </c>
      <c r="B6" s="342" t="s">
        <v>2520</v>
      </c>
      <c r="C6" s="342">
        <v>13162</v>
      </c>
      <c r="D6" s="343">
        <v>41996.00000299768</v>
      </c>
      <c r="E6" s="343">
        <v>43092.00000299768</v>
      </c>
      <c r="F6" s="344">
        <v>200000000</v>
      </c>
      <c r="G6" s="344">
        <v>200000000</v>
      </c>
      <c r="H6" s="341">
        <v>108</v>
      </c>
      <c r="I6" s="341">
        <v>11.6</v>
      </c>
      <c r="J6" s="341">
        <f>VLOOKUP(1316,收盤價!A:C,3,0)</f>
        <v>9.8000000000000007</v>
      </c>
      <c r="K6" s="341">
        <v>8621</v>
      </c>
      <c r="L6" s="341">
        <v>100</v>
      </c>
      <c r="M6" s="354">
        <v>-7.4099999999999999E-2</v>
      </c>
      <c r="Z6" s="32"/>
      <c r="AA6" s="32" t="s">
        <v>2487</v>
      </c>
      <c r="AB6" s="153">
        <v>100000</v>
      </c>
      <c r="AC6" s="32" t="s">
        <v>2488</v>
      </c>
      <c r="AD6" s="153">
        <v>3000000</v>
      </c>
      <c r="AE6" s="32" t="s">
        <v>2489</v>
      </c>
      <c r="AF6" s="154">
        <v>0</v>
      </c>
      <c r="AG6" s="32" t="s">
        <v>2490</v>
      </c>
      <c r="AH6" s="32">
        <v>110</v>
      </c>
      <c r="AI6" s="32"/>
    </row>
    <row r="7" spans="1:35">
      <c r="A7" s="342" t="s">
        <v>2521</v>
      </c>
      <c r="B7" s="342" t="s">
        <v>2522</v>
      </c>
      <c r="C7" s="342">
        <v>13191</v>
      </c>
      <c r="D7" s="343">
        <v>40546.000002997687</v>
      </c>
      <c r="E7" s="343">
        <v>42372.00000299768</v>
      </c>
      <c r="F7" s="344">
        <v>1000000000</v>
      </c>
      <c r="G7" s="344">
        <v>1000000000</v>
      </c>
      <c r="H7" s="341">
        <v>99.75</v>
      </c>
      <c r="I7" s="341">
        <v>42.5</v>
      </c>
      <c r="J7" s="341">
        <f>VLOOKUP(1319,收盤價!A:C,3,0)</f>
        <v>40</v>
      </c>
      <c r="K7" s="341">
        <v>2353</v>
      </c>
      <c r="L7" s="341">
        <v>100</v>
      </c>
      <c r="M7" s="354">
        <v>2.5000000000000001E-3</v>
      </c>
      <c r="Z7" s="32"/>
      <c r="AA7" s="32" t="s">
        <v>2491</v>
      </c>
      <c r="AB7" s="32" t="s">
        <v>2970</v>
      </c>
      <c r="AC7" s="32" t="s">
        <v>2480</v>
      </c>
      <c r="AD7" s="32" t="s">
        <v>2971</v>
      </c>
      <c r="AE7" s="32" t="s">
        <v>2492</v>
      </c>
      <c r="AF7" s="32" t="s">
        <v>2970</v>
      </c>
      <c r="AG7" s="32" t="s">
        <v>2493</v>
      </c>
      <c r="AH7" s="32" t="s">
        <v>2971</v>
      </c>
      <c r="AI7" s="32"/>
    </row>
    <row r="8" spans="1:35">
      <c r="A8" s="342" t="s">
        <v>2523</v>
      </c>
      <c r="B8" s="342" t="s">
        <v>263</v>
      </c>
      <c r="C8" s="342">
        <v>13361</v>
      </c>
      <c r="D8" s="343">
        <v>41892.000002997687</v>
      </c>
      <c r="E8" s="343">
        <v>42988.00000299768</v>
      </c>
      <c r="F8" s="344">
        <v>350000000</v>
      </c>
      <c r="G8" s="344">
        <v>350000000</v>
      </c>
      <c r="H8" s="341">
        <v>101.15</v>
      </c>
      <c r="I8" s="341">
        <v>16.579999999999998</v>
      </c>
      <c r="J8" s="341">
        <f>VLOOKUP(1336,收盤價!A:C,3,0)</f>
        <v>8.02</v>
      </c>
      <c r="K8" s="341">
        <v>6031</v>
      </c>
      <c r="L8" s="341">
        <v>100</v>
      </c>
      <c r="M8" s="354">
        <v>-1.14E-2</v>
      </c>
      <c r="Z8" s="32"/>
      <c r="AA8" s="32" t="s">
        <v>2494</v>
      </c>
      <c r="AB8" s="32" t="s">
        <v>2495</v>
      </c>
      <c r="AC8" s="32" t="s">
        <v>2496</v>
      </c>
      <c r="AD8" s="32" t="s">
        <v>2972</v>
      </c>
      <c r="AE8" s="32" t="s">
        <v>2497</v>
      </c>
      <c r="AF8" s="32" t="s">
        <v>2968</v>
      </c>
      <c r="AG8" s="32" t="s">
        <v>2498</v>
      </c>
      <c r="AH8" s="32" t="s">
        <v>2974</v>
      </c>
      <c r="AI8" s="32"/>
    </row>
    <row r="9" spans="1:35">
      <c r="A9" s="342" t="s">
        <v>2524</v>
      </c>
      <c r="B9" s="342" t="s">
        <v>2525</v>
      </c>
      <c r="C9" s="342">
        <v>14321</v>
      </c>
      <c r="D9" s="343">
        <v>42047.00000299768</v>
      </c>
      <c r="E9" s="343">
        <v>43143.00000299768</v>
      </c>
      <c r="F9" s="344">
        <v>250000000</v>
      </c>
      <c r="G9" s="344">
        <v>250000000</v>
      </c>
      <c r="H9" s="341">
        <v>114.8</v>
      </c>
      <c r="I9" s="341">
        <v>20.100000000000001</v>
      </c>
      <c r="J9" s="341">
        <f>VLOOKUP(1432,收盤價!A:C,3,0)</f>
        <v>22.15</v>
      </c>
      <c r="K9" s="341">
        <v>4975</v>
      </c>
      <c r="L9" s="341">
        <v>103.72875000000001</v>
      </c>
      <c r="M9" s="354">
        <v>-9.64E-2</v>
      </c>
      <c r="Z9" s="32"/>
      <c r="AA9" s="32" t="s">
        <v>2500</v>
      </c>
      <c r="AB9" s="32" t="s">
        <v>2969</v>
      </c>
      <c r="AC9" s="32" t="s">
        <v>2481</v>
      </c>
      <c r="AD9" s="32">
        <v>37.700000000000003</v>
      </c>
      <c r="AE9" s="32" t="s">
        <v>2500</v>
      </c>
      <c r="AF9" s="32" t="s">
        <v>2969</v>
      </c>
      <c r="AG9" s="32" t="s">
        <v>2501</v>
      </c>
      <c r="AH9" s="32" t="s">
        <v>98</v>
      </c>
      <c r="AI9" s="32"/>
    </row>
    <row r="10" spans="1:35">
      <c r="A10" s="342" t="s">
        <v>2524</v>
      </c>
      <c r="B10" s="342" t="s">
        <v>2525</v>
      </c>
      <c r="C10" s="342">
        <v>14322</v>
      </c>
      <c r="D10" s="343">
        <v>42048.00000299768</v>
      </c>
      <c r="E10" s="343">
        <v>43874.00000299768</v>
      </c>
      <c r="F10" s="344">
        <v>250000000</v>
      </c>
      <c r="G10" s="344">
        <v>203900000</v>
      </c>
      <c r="H10" s="341">
        <v>109.5</v>
      </c>
      <c r="I10" s="341">
        <v>20.100000000000001</v>
      </c>
      <c r="J10" s="341">
        <f>VLOOKUP(1432,收盤價!A:C,3,0)</f>
        <v>22.15</v>
      </c>
      <c r="K10" s="341">
        <v>4975</v>
      </c>
      <c r="L10" s="341">
        <v>103.72875000000001</v>
      </c>
      <c r="M10" s="354">
        <v>-5.2699999999999997E-2</v>
      </c>
      <c r="Z10" s="32"/>
      <c r="AA10" s="32" t="s">
        <v>2502</v>
      </c>
      <c r="AB10" s="32"/>
      <c r="AC10" s="32" t="s">
        <v>2503</v>
      </c>
      <c r="AD10" s="32">
        <v>0</v>
      </c>
      <c r="AE10" s="32" t="s">
        <v>2504</v>
      </c>
      <c r="AF10" s="32" t="s">
        <v>2505</v>
      </c>
      <c r="AG10" s="32" t="s">
        <v>2506</v>
      </c>
      <c r="AH10" s="340">
        <v>2652.52</v>
      </c>
      <c r="AI10" s="32"/>
    </row>
    <row r="11" spans="1:35">
      <c r="A11" s="342" t="s">
        <v>2526</v>
      </c>
      <c r="B11" s="342" t="s">
        <v>2527</v>
      </c>
      <c r="C11" s="342">
        <v>14423</v>
      </c>
      <c r="D11" s="343">
        <v>42339.00000299768</v>
      </c>
      <c r="E11" s="343">
        <v>44166.00000299768</v>
      </c>
      <c r="F11" s="344">
        <v>800000000</v>
      </c>
      <c r="G11" s="344">
        <v>800000000</v>
      </c>
      <c r="H11" s="341">
        <v>109</v>
      </c>
      <c r="I11" s="341">
        <v>17.899999999999999</v>
      </c>
      <c r="J11" s="341">
        <f>VLOOKUP(1442,收盤價!A:C,3,0)</f>
        <v>16.899999999999999</v>
      </c>
      <c r="K11" s="341">
        <v>5587</v>
      </c>
      <c r="L11" s="341">
        <v>100</v>
      </c>
      <c r="M11" s="354">
        <v>-8.2600000000000007E-2</v>
      </c>
      <c r="Z11" s="32"/>
      <c r="AA11" s="32"/>
      <c r="AB11" s="32"/>
      <c r="AC11" s="32"/>
      <c r="AD11" s="32"/>
      <c r="AE11" s="32"/>
      <c r="AF11" s="32"/>
      <c r="AG11" s="32"/>
      <c r="AH11" s="32"/>
      <c r="AI11" s="32"/>
    </row>
    <row r="12" spans="1:35">
      <c r="A12" s="342" t="s">
        <v>2528</v>
      </c>
      <c r="B12" s="342" t="s">
        <v>2529</v>
      </c>
      <c r="C12" s="342">
        <v>14641</v>
      </c>
      <c r="D12" s="343">
        <v>42144.00000299768</v>
      </c>
      <c r="E12" s="343">
        <v>43240.00000299768</v>
      </c>
      <c r="F12" s="344">
        <v>200000000</v>
      </c>
      <c r="G12" s="344">
        <v>163800000</v>
      </c>
      <c r="H12" s="341">
        <v>152</v>
      </c>
      <c r="I12" s="341">
        <v>22.68</v>
      </c>
      <c r="J12" s="341">
        <f>VLOOKUP(1464,收盤價!A:C,3,0)</f>
        <v>33.049999999999997</v>
      </c>
      <c r="K12" s="341">
        <v>4409</v>
      </c>
      <c r="L12" s="341">
        <v>145.27655000000001</v>
      </c>
      <c r="M12" s="354">
        <v>-4.4200000000000003E-2</v>
      </c>
    </row>
    <row r="13" spans="1:35">
      <c r="A13" s="342" t="s">
        <v>2528</v>
      </c>
      <c r="B13" s="342" t="s">
        <v>2529</v>
      </c>
      <c r="C13" s="342">
        <v>14642</v>
      </c>
      <c r="D13" s="343">
        <v>42145.00000299768</v>
      </c>
      <c r="E13" s="343">
        <v>43241.00000299768</v>
      </c>
      <c r="F13" s="344">
        <v>250000000</v>
      </c>
      <c r="G13" s="344">
        <v>29600000</v>
      </c>
      <c r="H13" s="341">
        <v>155</v>
      </c>
      <c r="I13" s="341">
        <v>22.12</v>
      </c>
      <c r="J13" s="341">
        <f>VLOOKUP(1464,收盤價!A:C,3,0)</f>
        <v>33.049999999999997</v>
      </c>
      <c r="K13" s="341">
        <v>4521</v>
      </c>
      <c r="L13" s="341">
        <v>148.96695000000003</v>
      </c>
      <c r="M13" s="354">
        <v>-3.8899999999999997E-2</v>
      </c>
    </row>
    <row r="14" spans="1:35">
      <c r="A14" s="342" t="s">
        <v>2530</v>
      </c>
      <c r="B14" s="342" t="s">
        <v>2531</v>
      </c>
      <c r="C14" s="342">
        <v>14662</v>
      </c>
      <c r="D14" s="343">
        <v>41288.000002997687</v>
      </c>
      <c r="E14" s="343">
        <v>43114.00000299768</v>
      </c>
      <c r="F14" s="344">
        <v>300000000</v>
      </c>
      <c r="G14" s="344">
        <v>93500000</v>
      </c>
      <c r="H14" s="341">
        <v>104.2</v>
      </c>
      <c r="I14" s="341">
        <v>18</v>
      </c>
      <c r="J14" s="341">
        <f>VLOOKUP(1466,收盤價!A:C,3,0)</f>
        <v>17.5</v>
      </c>
      <c r="K14" s="341">
        <v>5556</v>
      </c>
      <c r="L14" s="341">
        <v>100</v>
      </c>
      <c r="M14" s="354">
        <v>-4.0300000000000002E-2</v>
      </c>
    </row>
    <row r="15" spans="1:35">
      <c r="A15" s="342" t="s">
        <v>2530</v>
      </c>
      <c r="B15" s="342" t="s">
        <v>2531</v>
      </c>
      <c r="C15" s="342">
        <v>14663</v>
      </c>
      <c r="D15" s="343">
        <v>41906.000002997687</v>
      </c>
      <c r="E15" s="343">
        <v>43732.00000299768</v>
      </c>
      <c r="F15" s="344">
        <v>400000000</v>
      </c>
      <c r="G15" s="344">
        <v>400000000</v>
      </c>
      <c r="H15" s="341">
        <v>103</v>
      </c>
      <c r="I15" s="341">
        <v>21.8</v>
      </c>
      <c r="J15" s="341">
        <f>VLOOKUP(1466,收盤價!A:C,3,0)</f>
        <v>17.5</v>
      </c>
      <c r="K15" s="341">
        <v>4587</v>
      </c>
      <c r="L15" s="341">
        <v>100</v>
      </c>
      <c r="M15" s="354">
        <v>-2.9100000000000001E-2</v>
      </c>
    </row>
    <row r="16" spans="1:35">
      <c r="A16" s="342" t="s">
        <v>2532</v>
      </c>
      <c r="B16" s="342" t="s">
        <v>2533</v>
      </c>
      <c r="C16" s="342">
        <v>14774</v>
      </c>
      <c r="D16" s="343">
        <v>41145.000002997687</v>
      </c>
      <c r="E16" s="343">
        <v>42971.00000299768</v>
      </c>
      <c r="F16" s="344">
        <v>700000000</v>
      </c>
      <c r="G16" s="344">
        <v>241500000</v>
      </c>
      <c r="H16" s="341">
        <v>325</v>
      </c>
      <c r="I16" s="341">
        <v>72.8</v>
      </c>
      <c r="J16" s="341">
        <f>VLOOKUP(1477,收盤價!A:C,3,0)</f>
        <v>232</v>
      </c>
      <c r="K16" s="341">
        <v>1374</v>
      </c>
      <c r="L16" s="341">
        <v>317.39400000000001</v>
      </c>
      <c r="M16" s="354">
        <v>-2.3400000000000001E-2</v>
      </c>
    </row>
    <row r="17" spans="1:13">
      <c r="A17" s="342" t="s">
        <v>2534</v>
      </c>
      <c r="B17" s="342" t="s">
        <v>2535</v>
      </c>
      <c r="C17" s="342">
        <v>15061</v>
      </c>
      <c r="D17" s="343">
        <v>42027.00000299768</v>
      </c>
      <c r="E17" s="343">
        <v>43123.00000299768</v>
      </c>
      <c r="F17" s="344">
        <v>700000000</v>
      </c>
      <c r="G17" s="344">
        <v>699900000</v>
      </c>
      <c r="H17" s="341">
        <v>115</v>
      </c>
      <c r="I17" s="341">
        <v>24.18</v>
      </c>
      <c r="J17" s="341">
        <f>VLOOKUP(1506,收盤價!A:C,3,0)</f>
        <v>14.85</v>
      </c>
      <c r="K17" s="341">
        <v>4136</v>
      </c>
      <c r="L17" s="341">
        <v>100</v>
      </c>
      <c r="M17" s="354">
        <v>-0.13039999999999999</v>
      </c>
    </row>
    <row r="18" spans="1:13">
      <c r="A18" s="342" t="s">
        <v>2536</v>
      </c>
      <c r="B18" s="342" t="s">
        <v>2537</v>
      </c>
      <c r="C18" s="342">
        <v>15302</v>
      </c>
      <c r="D18" s="343">
        <v>42138.00000299768</v>
      </c>
      <c r="E18" s="343">
        <v>43965.00000299768</v>
      </c>
      <c r="F18" s="344">
        <v>400000000</v>
      </c>
      <c r="G18" s="344">
        <v>400000000</v>
      </c>
      <c r="H18" s="341">
        <v>100</v>
      </c>
      <c r="I18" s="341">
        <v>47.3</v>
      </c>
      <c r="J18" s="341">
        <f>VLOOKUP(1530,收盤價!A:C,3,0)</f>
        <v>30.6</v>
      </c>
      <c r="K18" s="341">
        <v>2114</v>
      </c>
      <c r="L18" s="341">
        <v>100</v>
      </c>
      <c r="M18" s="355">
        <v>0</v>
      </c>
    </row>
    <row r="19" spans="1:13">
      <c r="A19" s="342" t="s">
        <v>2538</v>
      </c>
      <c r="B19" s="342" t="s">
        <v>264</v>
      </c>
      <c r="C19" s="342">
        <v>15661</v>
      </c>
      <c r="D19" s="343">
        <v>41257.000002997687</v>
      </c>
      <c r="E19" s="343">
        <v>43083.00000299768</v>
      </c>
      <c r="F19" s="344">
        <v>500000000</v>
      </c>
      <c r="G19" s="344">
        <v>163900000</v>
      </c>
      <c r="H19" s="341">
        <v>101</v>
      </c>
      <c r="I19" s="341">
        <v>29.18</v>
      </c>
      <c r="J19" s="341">
        <f>VLOOKUP(1566,收盤價!A:C,3,0)</f>
        <v>24.15</v>
      </c>
      <c r="K19" s="341">
        <v>3427</v>
      </c>
      <c r="L19" s="341">
        <v>100</v>
      </c>
      <c r="M19" s="354">
        <v>-9.9000000000000008E-3</v>
      </c>
    </row>
    <row r="20" spans="1:13">
      <c r="A20" s="342" t="s">
        <v>2539</v>
      </c>
      <c r="B20" s="342" t="s">
        <v>265</v>
      </c>
      <c r="C20" s="342">
        <v>15695</v>
      </c>
      <c r="D20" s="343">
        <v>42039.00000299768</v>
      </c>
      <c r="E20" s="343">
        <v>43135.00000299768</v>
      </c>
      <c r="F20" s="344">
        <v>200000000</v>
      </c>
      <c r="G20" s="344">
        <v>200000000</v>
      </c>
      <c r="H20" s="341">
        <v>101.8</v>
      </c>
      <c r="I20" s="341">
        <v>22.4</v>
      </c>
      <c r="J20" s="341">
        <f>VLOOKUP(1569,收盤價!A:C,3,0)</f>
        <v>11.2</v>
      </c>
      <c r="K20" s="341">
        <v>4464</v>
      </c>
      <c r="L20" s="341">
        <v>100</v>
      </c>
      <c r="M20" s="354">
        <v>-1.77E-2</v>
      </c>
    </row>
    <row r="21" spans="1:13">
      <c r="A21" s="342" t="s">
        <v>2540</v>
      </c>
      <c r="B21" s="342" t="s">
        <v>2541</v>
      </c>
      <c r="C21" s="342">
        <v>15822</v>
      </c>
      <c r="D21" s="343">
        <v>42024.00000299768</v>
      </c>
      <c r="E21" s="343">
        <v>43120.00000299768</v>
      </c>
      <c r="F21" s="344">
        <v>800000000</v>
      </c>
      <c r="G21" s="344">
        <v>800000000</v>
      </c>
      <c r="H21" s="341">
        <v>103.75</v>
      </c>
      <c r="I21" s="341">
        <v>58.8</v>
      </c>
      <c r="J21" s="341">
        <f>VLOOKUP(1582,收盤價!A:C,3,0)</f>
        <v>48.6</v>
      </c>
      <c r="K21" s="341">
        <v>1701</v>
      </c>
      <c r="L21" s="341">
        <v>100</v>
      </c>
      <c r="M21" s="354">
        <v>-3.61E-2</v>
      </c>
    </row>
    <row r="22" spans="1:13">
      <c r="A22" s="342" t="s">
        <v>2542</v>
      </c>
      <c r="B22" s="342" t="s">
        <v>2543</v>
      </c>
      <c r="C22" s="342">
        <v>15831</v>
      </c>
      <c r="D22" s="343">
        <v>42074.00000299768</v>
      </c>
      <c r="E22" s="343">
        <v>43901.00000299768</v>
      </c>
      <c r="F22" s="344">
        <v>600000000</v>
      </c>
      <c r="G22" s="344">
        <v>600000000</v>
      </c>
      <c r="H22" s="341">
        <v>98.45</v>
      </c>
      <c r="I22" s="341">
        <v>96.6</v>
      </c>
      <c r="J22" s="341">
        <f>VLOOKUP(1583,收盤價!A:C,3,0)</f>
        <v>65.2</v>
      </c>
      <c r="K22" s="341">
        <v>1035</v>
      </c>
      <c r="L22" s="341">
        <v>100</v>
      </c>
      <c r="M22" s="354">
        <v>1.5699999999999999E-2</v>
      </c>
    </row>
    <row r="23" spans="1:13">
      <c r="A23" s="342" t="s">
        <v>2544</v>
      </c>
      <c r="B23" s="342" t="s">
        <v>2080</v>
      </c>
      <c r="C23" s="342">
        <v>15861</v>
      </c>
      <c r="D23" s="343">
        <v>42017.00000299768</v>
      </c>
      <c r="E23" s="343">
        <v>43113.00000299768</v>
      </c>
      <c r="F23" s="344">
        <v>300000000</v>
      </c>
      <c r="G23" s="344">
        <v>300000000</v>
      </c>
      <c r="H23" s="341">
        <v>111</v>
      </c>
      <c r="I23" s="341">
        <v>29</v>
      </c>
      <c r="J23" s="341">
        <f>VLOOKUP(1586,收盤價!A:C,3,0)</f>
        <v>31.8</v>
      </c>
      <c r="K23" s="341">
        <v>3448</v>
      </c>
      <c r="L23" s="341">
        <v>103.26759999999999</v>
      </c>
      <c r="M23" s="354">
        <v>-6.9699999999999998E-2</v>
      </c>
    </row>
    <row r="24" spans="1:13">
      <c r="A24" s="342" t="s">
        <v>2545</v>
      </c>
      <c r="B24" s="342" t="s">
        <v>2546</v>
      </c>
      <c r="C24" s="342">
        <v>15891</v>
      </c>
      <c r="D24" s="343">
        <v>41793.000002997687</v>
      </c>
      <c r="E24" s="343">
        <v>43619.00000299768</v>
      </c>
      <c r="F24" s="344">
        <v>1500000000</v>
      </c>
      <c r="G24" s="344">
        <v>289400000</v>
      </c>
      <c r="H24" s="341">
        <v>119</v>
      </c>
      <c r="I24" s="341">
        <v>148.6</v>
      </c>
      <c r="J24" s="341">
        <f>VLOOKUP(1589,收盤價!A:C,3,0)</f>
        <v>178.5</v>
      </c>
      <c r="K24" s="341">
        <v>673</v>
      </c>
      <c r="L24" s="341">
        <v>117.77500000000001</v>
      </c>
      <c r="M24" s="354">
        <v>-1.03E-2</v>
      </c>
    </row>
    <row r="25" spans="1:13">
      <c r="A25" s="342" t="s">
        <v>2545</v>
      </c>
      <c r="B25" s="342" t="s">
        <v>2546</v>
      </c>
      <c r="C25" s="342">
        <v>15892</v>
      </c>
      <c r="D25" s="343">
        <v>42234.00000299768</v>
      </c>
      <c r="E25" s="343">
        <v>44061.00000299768</v>
      </c>
      <c r="F25" s="344">
        <v>2500000000</v>
      </c>
      <c r="G25" s="344">
        <v>2500000000</v>
      </c>
      <c r="H25" s="341">
        <v>101.8</v>
      </c>
      <c r="I25" s="341">
        <v>216.5</v>
      </c>
      <c r="J25" s="341">
        <f>VLOOKUP(1589,收盤價!A:C,3,0)</f>
        <v>178.5</v>
      </c>
      <c r="K25" s="341">
        <v>462</v>
      </c>
      <c r="L25" s="341">
        <v>100</v>
      </c>
      <c r="M25" s="354">
        <v>-1.77E-2</v>
      </c>
    </row>
    <row r="26" spans="1:13">
      <c r="A26" s="342" t="s">
        <v>2547</v>
      </c>
      <c r="B26" s="342" t="s">
        <v>266</v>
      </c>
      <c r="C26" s="342">
        <v>15931</v>
      </c>
      <c r="D26" s="343">
        <v>42034.00000299768</v>
      </c>
      <c r="E26" s="343">
        <v>43130.00000299768</v>
      </c>
      <c r="F26" s="344">
        <v>60000000</v>
      </c>
      <c r="G26" s="344">
        <v>60000000</v>
      </c>
      <c r="H26" s="341">
        <v>111.5</v>
      </c>
      <c r="I26" s="341">
        <v>42.4</v>
      </c>
      <c r="J26" s="341">
        <f>VLOOKUP(1593,收盤價!A:C,3,0)</f>
        <v>38.299999999999997</v>
      </c>
      <c r="K26" s="341">
        <v>2358</v>
      </c>
      <c r="L26" s="341">
        <v>100</v>
      </c>
      <c r="M26" s="354">
        <v>-0.1031</v>
      </c>
    </row>
    <row r="27" spans="1:13">
      <c r="A27" s="342" t="s">
        <v>2548</v>
      </c>
      <c r="B27" s="342" t="s">
        <v>2178</v>
      </c>
      <c r="C27" s="342">
        <v>15951</v>
      </c>
      <c r="D27" s="343">
        <v>42046.00000299768</v>
      </c>
      <c r="E27" s="343">
        <v>43142.00000299768</v>
      </c>
      <c r="F27" s="344">
        <v>240000000</v>
      </c>
      <c r="G27" s="344">
        <v>240000000</v>
      </c>
      <c r="H27" s="341">
        <v>100</v>
      </c>
      <c r="I27" s="341">
        <v>78.75</v>
      </c>
      <c r="J27" s="341">
        <f>VLOOKUP(1595,收盤價!A:C,3,0)</f>
        <v>60.5</v>
      </c>
      <c r="K27" s="341">
        <v>1270</v>
      </c>
      <c r="L27" s="341">
        <v>100</v>
      </c>
      <c r="M27" s="355">
        <v>0</v>
      </c>
    </row>
    <row r="28" spans="1:13">
      <c r="A28" s="342" t="s">
        <v>2549</v>
      </c>
      <c r="B28" s="342" t="s">
        <v>2550</v>
      </c>
      <c r="C28" s="342">
        <v>16112</v>
      </c>
      <c r="D28" s="343">
        <v>41361.000002997687</v>
      </c>
      <c r="E28" s="343">
        <v>43187.00000299768</v>
      </c>
      <c r="F28" s="344">
        <v>1600000000</v>
      </c>
      <c r="G28" s="344">
        <v>43500000</v>
      </c>
      <c r="H28" s="341">
        <v>99.8</v>
      </c>
      <c r="I28" s="341">
        <v>18.62</v>
      </c>
      <c r="J28" s="341">
        <f>VLOOKUP(1611,收盤價!A:C,3,0)</f>
        <v>7.83</v>
      </c>
      <c r="K28" s="341">
        <v>5371</v>
      </c>
      <c r="L28" s="341">
        <v>100</v>
      </c>
      <c r="M28" s="354">
        <v>2E-3</v>
      </c>
    </row>
    <row r="29" spans="1:13">
      <c r="A29" s="342" t="s">
        <v>2551</v>
      </c>
      <c r="B29" s="342" t="s">
        <v>2552</v>
      </c>
      <c r="C29" s="342">
        <v>16261</v>
      </c>
      <c r="D29" s="343">
        <v>41866.000002997687</v>
      </c>
      <c r="E29" s="343">
        <v>43692.00000299768</v>
      </c>
      <c r="F29" s="344">
        <v>1300000000</v>
      </c>
      <c r="G29" s="344">
        <v>825700000</v>
      </c>
      <c r="H29" s="341">
        <v>98.35</v>
      </c>
      <c r="I29" s="341">
        <v>49.7</v>
      </c>
      <c r="J29" s="341">
        <f>VLOOKUP(1626,收盤價!A:C,3,0)</f>
        <v>22.85</v>
      </c>
      <c r="K29" s="341">
        <v>2012</v>
      </c>
      <c r="L29" s="341">
        <v>100</v>
      </c>
      <c r="M29" s="354">
        <v>1.6799999999999999E-2</v>
      </c>
    </row>
    <row r="30" spans="1:13">
      <c r="A30" s="342" t="s">
        <v>2553</v>
      </c>
      <c r="B30" s="342" t="s">
        <v>2554</v>
      </c>
      <c r="C30" s="342">
        <v>17071</v>
      </c>
      <c r="D30" s="343">
        <v>42242.00000299768</v>
      </c>
      <c r="E30" s="343">
        <v>43338.00000299768</v>
      </c>
      <c r="F30" s="344">
        <v>1000000000</v>
      </c>
      <c r="G30" s="344">
        <v>992000000</v>
      </c>
      <c r="H30" s="341">
        <v>111.75</v>
      </c>
      <c r="I30" s="341">
        <v>170.5</v>
      </c>
      <c r="J30" s="341">
        <f>VLOOKUP(1707,收盤價!A:C,3,0)</f>
        <v>179.5</v>
      </c>
      <c r="K30" s="341">
        <v>587</v>
      </c>
      <c r="L30" s="341">
        <v>105.07299999999999</v>
      </c>
      <c r="M30" s="354">
        <v>-5.9700000000000003E-2</v>
      </c>
    </row>
    <row r="31" spans="1:13">
      <c r="A31" s="342" t="s">
        <v>2555</v>
      </c>
      <c r="B31" s="342" t="s">
        <v>2556</v>
      </c>
      <c r="C31" s="342">
        <v>17091</v>
      </c>
      <c r="D31" s="343">
        <v>41690.000002997687</v>
      </c>
      <c r="E31" s="343">
        <v>43516.00000299768</v>
      </c>
      <c r="F31" s="344">
        <v>700000000</v>
      </c>
      <c r="G31" s="344">
        <v>700000000</v>
      </c>
      <c r="H31" s="341">
        <v>109</v>
      </c>
      <c r="I31" s="341">
        <v>14.1</v>
      </c>
      <c r="J31" s="341">
        <f>VLOOKUP(1709,收盤價!A:C,3,0)</f>
        <v>14.9</v>
      </c>
      <c r="K31" s="341">
        <v>7092</v>
      </c>
      <c r="L31" s="341">
        <v>104.25239999999999</v>
      </c>
      <c r="M31" s="354">
        <v>-4.36E-2</v>
      </c>
    </row>
    <row r="32" spans="1:13">
      <c r="A32" s="342" t="s">
        <v>2557</v>
      </c>
      <c r="B32" s="342" t="s">
        <v>2558</v>
      </c>
      <c r="C32" s="342">
        <v>17121</v>
      </c>
      <c r="D32" s="343">
        <v>41501.000002997687</v>
      </c>
      <c r="E32" s="343">
        <v>43327.00000299768</v>
      </c>
      <c r="F32" s="344">
        <v>1200000000</v>
      </c>
      <c r="G32" s="344">
        <v>1028700000</v>
      </c>
      <c r="H32" s="341">
        <v>101</v>
      </c>
      <c r="I32" s="341">
        <v>14.45</v>
      </c>
      <c r="J32" s="341">
        <f>VLOOKUP(1712,收盤價!A:C,3,0)</f>
        <v>13.35</v>
      </c>
      <c r="K32" s="341">
        <v>6920</v>
      </c>
      <c r="L32" s="341">
        <v>100</v>
      </c>
      <c r="M32" s="354">
        <v>-9.9000000000000008E-3</v>
      </c>
    </row>
    <row r="33" spans="1:13">
      <c r="A33" s="342" t="s">
        <v>2559</v>
      </c>
      <c r="B33" s="342" t="s">
        <v>2560</v>
      </c>
      <c r="C33" s="342">
        <v>17151</v>
      </c>
      <c r="D33" s="343">
        <v>40801.000002997687</v>
      </c>
      <c r="E33" s="343">
        <v>42628.00000299768</v>
      </c>
      <c r="F33" s="344">
        <v>1000000000</v>
      </c>
      <c r="G33" s="344">
        <v>11700000</v>
      </c>
      <c r="H33" s="341">
        <v>140.30000000000001</v>
      </c>
      <c r="I33" s="341">
        <v>10.97</v>
      </c>
      <c r="J33" s="341">
        <f>VLOOKUP(1715,收盤價!A:C,3,0)</f>
        <v>11.3</v>
      </c>
      <c r="K33" s="341">
        <v>9116</v>
      </c>
      <c r="L33" s="341">
        <v>102.0992</v>
      </c>
      <c r="M33" s="354">
        <v>-0.27229999999999999</v>
      </c>
    </row>
    <row r="34" spans="1:13">
      <c r="A34" s="342" t="s">
        <v>2559</v>
      </c>
      <c r="B34" s="342" t="s">
        <v>2560</v>
      </c>
      <c r="C34" s="342">
        <v>17152</v>
      </c>
      <c r="D34" s="343">
        <v>41628.000002997687</v>
      </c>
      <c r="E34" s="343">
        <v>43454.00000299768</v>
      </c>
      <c r="F34" s="344">
        <v>700000000</v>
      </c>
      <c r="G34" s="344">
        <v>128400000</v>
      </c>
      <c r="H34" s="341">
        <v>101</v>
      </c>
      <c r="I34" s="341">
        <v>14.81</v>
      </c>
      <c r="J34" s="341">
        <f>VLOOKUP(1715,收盤價!A:C,3,0)</f>
        <v>11.3</v>
      </c>
      <c r="K34" s="341">
        <v>6752</v>
      </c>
      <c r="L34" s="341">
        <v>100</v>
      </c>
      <c r="M34" s="354">
        <v>-9.9000000000000008E-3</v>
      </c>
    </row>
    <row r="35" spans="1:13">
      <c r="A35" s="342" t="s">
        <v>2559</v>
      </c>
      <c r="B35" s="342" t="s">
        <v>2560</v>
      </c>
      <c r="C35" s="342">
        <v>17153</v>
      </c>
      <c r="D35" s="343">
        <v>42152.00000299768</v>
      </c>
      <c r="E35" s="343">
        <v>43979.00000299768</v>
      </c>
      <c r="F35" s="344">
        <v>700000000</v>
      </c>
      <c r="G35" s="344">
        <v>700000000</v>
      </c>
      <c r="H35" s="341">
        <v>100</v>
      </c>
      <c r="I35" s="341">
        <v>17.239999999999998</v>
      </c>
      <c r="J35" s="341">
        <f>VLOOKUP(1715,收盤價!A:C,3,0)</f>
        <v>11.3</v>
      </c>
      <c r="K35" s="341">
        <v>5800</v>
      </c>
      <c r="L35" s="341">
        <v>100</v>
      </c>
      <c r="M35" s="355">
        <v>0</v>
      </c>
    </row>
    <row r="36" spans="1:13">
      <c r="A36" s="342" t="s">
        <v>2559</v>
      </c>
      <c r="B36" s="342" t="s">
        <v>2560</v>
      </c>
      <c r="C36" s="342">
        <v>17150</v>
      </c>
      <c r="D36" s="343">
        <v>42137.00000299768</v>
      </c>
      <c r="E36" s="343">
        <v>43233.00000299768</v>
      </c>
      <c r="F36" s="344">
        <v>200000000</v>
      </c>
      <c r="G36" s="344">
        <v>200000000</v>
      </c>
    </row>
    <row r="37" spans="1:13">
      <c r="A37" s="342" t="s">
        <v>2561</v>
      </c>
      <c r="B37" s="342" t="s">
        <v>2562</v>
      </c>
      <c r="C37" s="342">
        <v>17332</v>
      </c>
      <c r="D37" s="343">
        <v>42200.00000299768</v>
      </c>
      <c r="E37" s="343">
        <v>43296.00000299768</v>
      </c>
      <c r="F37" s="344">
        <v>400000000</v>
      </c>
      <c r="G37" s="344">
        <v>365100000</v>
      </c>
      <c r="H37" s="341">
        <v>107</v>
      </c>
      <c r="I37" s="341">
        <v>46.3</v>
      </c>
      <c r="J37" s="341">
        <f>VLOOKUP(1733,收盤價!A:C,3,0)</f>
        <v>46.95</v>
      </c>
      <c r="K37" s="341">
        <v>2160</v>
      </c>
      <c r="L37" s="341">
        <v>100.008</v>
      </c>
      <c r="M37" s="354">
        <v>-6.5299999999999997E-2</v>
      </c>
    </row>
    <row r="38" spans="1:13">
      <c r="A38" s="342" t="s">
        <v>2563</v>
      </c>
      <c r="B38" s="342" t="s">
        <v>268</v>
      </c>
      <c r="C38" s="342">
        <v>17522</v>
      </c>
      <c r="D38" s="343">
        <v>41621.000002997687</v>
      </c>
      <c r="E38" s="343">
        <v>42717.00000299768</v>
      </c>
      <c r="F38" s="344">
        <v>400000000</v>
      </c>
      <c r="G38" s="344">
        <v>43400000</v>
      </c>
      <c r="H38" s="341">
        <v>139.6</v>
      </c>
      <c r="I38" s="341">
        <v>33.799999999999997</v>
      </c>
      <c r="J38" s="341">
        <f>VLOOKUP(1752,收盤價!A:C,3,0)</f>
        <v>48</v>
      </c>
      <c r="K38" s="341">
        <v>2959</v>
      </c>
      <c r="L38" s="341">
        <v>140.8484</v>
      </c>
      <c r="M38" s="354">
        <v>8.8999999999999999E-3</v>
      </c>
    </row>
    <row r="39" spans="1:13">
      <c r="A39" s="342" t="s">
        <v>2564</v>
      </c>
      <c r="B39" s="342" t="s">
        <v>2565</v>
      </c>
      <c r="C39" s="342">
        <v>18083</v>
      </c>
      <c r="D39" s="343">
        <v>41526.000002997687</v>
      </c>
      <c r="E39" s="343">
        <v>43352.00000299768</v>
      </c>
      <c r="F39" s="344">
        <v>1500000000</v>
      </c>
      <c r="G39" s="344">
        <v>1500000000</v>
      </c>
      <c r="H39" s="341">
        <v>108</v>
      </c>
      <c r="I39" s="341">
        <v>26.8</v>
      </c>
      <c r="J39" s="341">
        <f>VLOOKUP(1808,收盤價!A:C,3,0)</f>
        <v>25.3</v>
      </c>
      <c r="K39" s="341">
        <v>3731</v>
      </c>
      <c r="L39" s="341">
        <v>100</v>
      </c>
      <c r="M39" s="354">
        <v>-7.4099999999999999E-2</v>
      </c>
    </row>
    <row r="40" spans="1:13">
      <c r="A40" s="342" t="s">
        <v>2564</v>
      </c>
      <c r="B40" s="342" t="s">
        <v>2565</v>
      </c>
      <c r="C40" s="342">
        <v>18081</v>
      </c>
      <c r="D40" s="343">
        <v>40557.000002997687</v>
      </c>
      <c r="E40" s="343">
        <v>42383.00000299768</v>
      </c>
      <c r="F40" s="344">
        <v>600000000</v>
      </c>
      <c r="G40" s="344">
        <v>271200000</v>
      </c>
      <c r="H40" s="341">
        <v>127.95</v>
      </c>
      <c r="I40" s="341">
        <v>19.66</v>
      </c>
      <c r="J40" s="341">
        <f>VLOOKUP(1808,收盤價!A:C,3,0)</f>
        <v>25.3</v>
      </c>
      <c r="K40" s="341">
        <v>5086</v>
      </c>
      <c r="L40" s="341">
        <v>131.72739999999999</v>
      </c>
      <c r="M40" s="354">
        <v>2.9499999999999998E-2</v>
      </c>
    </row>
    <row r="41" spans="1:13">
      <c r="A41" s="342" t="s">
        <v>2566</v>
      </c>
      <c r="B41" s="342" t="s">
        <v>2179</v>
      </c>
      <c r="C41" s="342">
        <v>18153</v>
      </c>
      <c r="D41" s="343">
        <v>40976.000002997687</v>
      </c>
      <c r="E41" s="343">
        <v>42802.00000299768</v>
      </c>
      <c r="F41" s="344">
        <v>750000000</v>
      </c>
      <c r="G41" s="344">
        <v>1500000</v>
      </c>
      <c r="H41" s="341">
        <v>103.9</v>
      </c>
      <c r="I41" s="341">
        <v>19.260000000000002</v>
      </c>
      <c r="J41" s="341">
        <f>VLOOKUP(1815,收盤價!A:C,3,0)</f>
        <v>10.8</v>
      </c>
      <c r="K41" s="341">
        <v>5192</v>
      </c>
      <c r="L41" s="341">
        <v>100</v>
      </c>
      <c r="M41" s="354">
        <v>-3.7499999999999999E-2</v>
      </c>
    </row>
    <row r="42" spans="1:13">
      <c r="A42" s="342" t="s">
        <v>2566</v>
      </c>
      <c r="B42" s="342" t="s">
        <v>2179</v>
      </c>
      <c r="C42" s="342">
        <v>18154</v>
      </c>
      <c r="D42" s="343">
        <v>41540.000002997687</v>
      </c>
      <c r="E42" s="343">
        <v>43366.00000299768</v>
      </c>
      <c r="F42" s="344">
        <v>500000000</v>
      </c>
      <c r="G42" s="344">
        <v>330700000</v>
      </c>
      <c r="H42" s="341">
        <v>102.1</v>
      </c>
      <c r="I42" s="341">
        <v>12.55</v>
      </c>
      <c r="J42" s="341">
        <f>VLOOKUP(1815,收盤價!A:C,3,0)</f>
        <v>10.8</v>
      </c>
      <c r="K42" s="341">
        <v>7968</v>
      </c>
      <c r="L42" s="341">
        <v>100</v>
      </c>
      <c r="M42" s="354">
        <v>-2.06E-2</v>
      </c>
    </row>
    <row r="43" spans="1:13">
      <c r="A43" s="342" t="s">
        <v>2567</v>
      </c>
      <c r="B43" s="342" t="s">
        <v>2568</v>
      </c>
      <c r="C43" s="342">
        <v>19093</v>
      </c>
      <c r="D43" s="343">
        <v>41856.000002997687</v>
      </c>
      <c r="E43" s="343">
        <v>42952.00000299768</v>
      </c>
      <c r="F43" s="344">
        <v>1600000000</v>
      </c>
      <c r="G43" s="344">
        <v>1600000000</v>
      </c>
      <c r="H43" s="341">
        <v>97.5</v>
      </c>
      <c r="I43" s="341">
        <v>16.7</v>
      </c>
      <c r="J43" s="341">
        <f>VLOOKUP(1909,收盤價!A:C,3,0)</f>
        <v>10.6</v>
      </c>
      <c r="K43" s="341">
        <v>5988</v>
      </c>
      <c r="L43" s="341">
        <v>100</v>
      </c>
      <c r="M43" s="354">
        <v>2.5600000000000001E-2</v>
      </c>
    </row>
    <row r="44" spans="1:13">
      <c r="A44" s="342" t="s">
        <v>2569</v>
      </c>
      <c r="B44" s="342" t="s">
        <v>2570</v>
      </c>
      <c r="C44" s="342">
        <v>20066</v>
      </c>
      <c r="D44" s="343">
        <v>41218.000002997687</v>
      </c>
      <c r="E44" s="343">
        <v>43044.00000299768</v>
      </c>
      <c r="F44" s="344">
        <v>2500000000</v>
      </c>
      <c r="G44" s="344">
        <v>2482200000</v>
      </c>
      <c r="H44" s="341">
        <v>101.95</v>
      </c>
      <c r="I44" s="341">
        <v>25.2</v>
      </c>
      <c r="J44" s="341">
        <f>VLOOKUP(2006,收盤價!A:C,3,0)</f>
        <v>17.2</v>
      </c>
      <c r="K44" s="341">
        <v>3968</v>
      </c>
      <c r="L44" s="341">
        <v>100</v>
      </c>
      <c r="M44" s="354">
        <v>-1.9099999999999999E-2</v>
      </c>
    </row>
    <row r="45" spans="1:13">
      <c r="A45" s="342" t="s">
        <v>2571</v>
      </c>
      <c r="B45" s="342" t="s">
        <v>2572</v>
      </c>
      <c r="C45" s="342">
        <v>20224</v>
      </c>
      <c r="D45" s="343">
        <v>41547.000002997687</v>
      </c>
      <c r="E45" s="343">
        <v>42643.00000299768</v>
      </c>
      <c r="F45" s="344">
        <v>300000000</v>
      </c>
      <c r="G45" s="344">
        <v>0</v>
      </c>
    </row>
    <row r="46" spans="1:13">
      <c r="A46" s="342" t="s">
        <v>2573</v>
      </c>
      <c r="B46" s="342" t="s">
        <v>2574</v>
      </c>
      <c r="C46" s="342">
        <v>20314</v>
      </c>
      <c r="D46" s="343">
        <v>41628.000002997687</v>
      </c>
      <c r="E46" s="343">
        <v>43454.00000299768</v>
      </c>
      <c r="F46" s="344">
        <v>500000000</v>
      </c>
      <c r="G46" s="344">
        <v>479000000</v>
      </c>
      <c r="H46" s="341">
        <v>98.2</v>
      </c>
      <c r="I46" s="341">
        <v>16.899999999999999</v>
      </c>
      <c r="J46" s="341">
        <f>VLOOKUP(2031,收盤價!A:C,3,0)</f>
        <v>12.9</v>
      </c>
      <c r="K46" s="341">
        <v>5917</v>
      </c>
      <c r="L46" s="341">
        <v>100</v>
      </c>
      <c r="M46" s="354">
        <v>1.83E-2</v>
      </c>
    </row>
    <row r="47" spans="1:13">
      <c r="A47" s="342" t="s">
        <v>2575</v>
      </c>
      <c r="B47" s="342" t="s">
        <v>2576</v>
      </c>
      <c r="C47" s="342">
        <v>21151</v>
      </c>
      <c r="D47" s="343">
        <v>42102.00000299768</v>
      </c>
      <c r="E47" s="343">
        <v>43198.00000299768</v>
      </c>
      <c r="F47" s="344">
        <v>400000000</v>
      </c>
      <c r="G47" s="344">
        <v>400000000</v>
      </c>
      <c r="H47" s="341">
        <v>98</v>
      </c>
      <c r="I47" s="341">
        <v>60.5</v>
      </c>
      <c r="J47" s="341">
        <f>VLOOKUP(2115,收盤價!A:C,3,0)</f>
        <v>41.9</v>
      </c>
      <c r="K47" s="341">
        <v>1653</v>
      </c>
      <c r="L47" s="341">
        <v>100</v>
      </c>
      <c r="M47" s="354">
        <v>2.0400000000000001E-2</v>
      </c>
    </row>
    <row r="48" spans="1:13">
      <c r="A48" s="342" t="s">
        <v>2577</v>
      </c>
      <c r="B48" s="342" t="s">
        <v>2578</v>
      </c>
      <c r="C48" s="342">
        <v>22281</v>
      </c>
      <c r="D48" s="343">
        <v>42150.00000299768</v>
      </c>
      <c r="E48" s="343">
        <v>43246.00000299768</v>
      </c>
      <c r="F48" s="344">
        <v>300000000</v>
      </c>
      <c r="G48" s="344">
        <v>251300000</v>
      </c>
      <c r="H48" s="341">
        <v>121</v>
      </c>
      <c r="I48" s="341">
        <v>131.9</v>
      </c>
      <c r="J48" s="341">
        <f>VLOOKUP(2228,收盤價!A:C,3,0)</f>
        <v>157</v>
      </c>
      <c r="K48" s="341">
        <v>758</v>
      </c>
      <c r="L48" s="341">
        <v>121.28</v>
      </c>
      <c r="M48" s="354">
        <v>2.3E-3</v>
      </c>
    </row>
    <row r="49" spans="1:13">
      <c r="A49" s="342" t="s">
        <v>2579</v>
      </c>
      <c r="B49" s="342" t="s">
        <v>2580</v>
      </c>
      <c r="C49" s="342">
        <v>22311</v>
      </c>
      <c r="D49" s="343">
        <v>41547.000002997687</v>
      </c>
      <c r="E49" s="343">
        <v>42643.00000299768</v>
      </c>
      <c r="F49" s="344">
        <v>250000000</v>
      </c>
      <c r="G49" s="344">
        <v>16900000</v>
      </c>
      <c r="H49" s="341">
        <v>522</v>
      </c>
      <c r="I49" s="341">
        <v>75.930000000000007</v>
      </c>
      <c r="J49" s="341">
        <f>VLOOKUP(2231,收盤價!A:C,3,0)</f>
        <v>391</v>
      </c>
      <c r="K49" s="341">
        <v>1317</v>
      </c>
      <c r="L49" s="341">
        <v>512.97149999999999</v>
      </c>
      <c r="M49" s="354">
        <v>-1.7299999999999999E-2</v>
      </c>
    </row>
    <row r="50" spans="1:13">
      <c r="A50" s="342" t="s">
        <v>2581</v>
      </c>
      <c r="B50" s="342" t="s">
        <v>2582</v>
      </c>
      <c r="C50" s="342">
        <v>23320</v>
      </c>
      <c r="D50" s="343">
        <v>42172.00000299768</v>
      </c>
      <c r="E50" s="343">
        <v>43999.00000299768</v>
      </c>
      <c r="F50" s="344">
        <v>1200000000</v>
      </c>
      <c r="G50" s="344">
        <v>1200000000</v>
      </c>
    </row>
    <row r="51" spans="1:13" ht="31.5">
      <c r="A51" s="342" t="s">
        <v>2583</v>
      </c>
      <c r="B51" s="342" t="s">
        <v>2584</v>
      </c>
      <c r="C51" s="342">
        <v>23532</v>
      </c>
      <c r="D51" s="343">
        <v>41408.000002997687</v>
      </c>
      <c r="E51" s="343">
        <v>42504.00000299768</v>
      </c>
      <c r="F51" s="344">
        <v>6000000000</v>
      </c>
      <c r="G51" s="344">
        <v>6000000000</v>
      </c>
      <c r="H51" s="341">
        <v>99.35</v>
      </c>
      <c r="I51" s="341">
        <v>24.97</v>
      </c>
      <c r="J51" s="341">
        <f>VLOOKUP(2353,收盤價!A:C,3,0)</f>
        <v>12.2</v>
      </c>
      <c r="K51" s="341">
        <v>4005</v>
      </c>
      <c r="L51" s="341">
        <v>100</v>
      </c>
      <c r="M51" s="354">
        <v>6.4999999999999997E-3</v>
      </c>
    </row>
    <row r="52" spans="1:13">
      <c r="A52" s="342" t="s">
        <v>2585</v>
      </c>
      <c r="B52" s="342" t="s">
        <v>2586</v>
      </c>
      <c r="C52" s="342">
        <v>23602</v>
      </c>
      <c r="D52" s="343">
        <v>41782.000002997687</v>
      </c>
      <c r="E52" s="343">
        <v>43608.00000299768</v>
      </c>
      <c r="F52" s="344">
        <v>2000000000</v>
      </c>
      <c r="G52" s="344">
        <v>1854100000</v>
      </c>
      <c r="H52" s="341">
        <v>108</v>
      </c>
      <c r="I52" s="341">
        <v>69.3</v>
      </c>
      <c r="J52" s="341">
        <f>VLOOKUP(2360,收盤價!A:C,3,0)</f>
        <v>64.7</v>
      </c>
      <c r="K52" s="341">
        <v>1443</v>
      </c>
      <c r="L52" s="341">
        <v>100</v>
      </c>
      <c r="M52" s="354">
        <v>-7.4099999999999999E-2</v>
      </c>
    </row>
    <row r="53" spans="1:13">
      <c r="A53" s="342" t="s">
        <v>2587</v>
      </c>
      <c r="B53" s="342" t="s">
        <v>2588</v>
      </c>
      <c r="C53" s="342">
        <v>23935</v>
      </c>
      <c r="D53" s="343">
        <v>41628.000002997687</v>
      </c>
      <c r="E53" s="343">
        <v>43454.00000299768</v>
      </c>
      <c r="F53" s="344">
        <v>4000000000</v>
      </c>
      <c r="G53" s="344">
        <v>3815400000</v>
      </c>
      <c r="H53" s="341">
        <v>101</v>
      </c>
      <c r="I53" s="341">
        <v>62.8</v>
      </c>
      <c r="J53" s="341">
        <f>VLOOKUP(2393,收盤價!A:C,3,0)</f>
        <v>48.35</v>
      </c>
      <c r="K53" s="341">
        <v>1592</v>
      </c>
      <c r="L53" s="341">
        <v>100</v>
      </c>
      <c r="M53" s="354">
        <v>-9.9000000000000008E-3</v>
      </c>
    </row>
    <row r="54" spans="1:13">
      <c r="A54" s="342" t="s">
        <v>2587</v>
      </c>
      <c r="B54" s="342" t="s">
        <v>2588</v>
      </c>
      <c r="C54" s="342">
        <v>23936</v>
      </c>
      <c r="D54" s="343">
        <v>42142.00000299768</v>
      </c>
      <c r="E54" s="343">
        <v>43969.00000299768</v>
      </c>
      <c r="F54" s="344">
        <v>5000000000</v>
      </c>
      <c r="G54" s="344">
        <v>4682500000</v>
      </c>
      <c r="H54" s="341">
        <v>97.5</v>
      </c>
      <c r="I54" s="341">
        <v>74.599999999999994</v>
      </c>
      <c r="J54" s="341">
        <f>VLOOKUP(2393,收盤價!A:C,3,0)</f>
        <v>48.35</v>
      </c>
      <c r="K54" s="341">
        <v>1340</v>
      </c>
      <c r="L54" s="341">
        <v>100</v>
      </c>
      <c r="M54" s="354">
        <v>2.5600000000000001E-2</v>
      </c>
    </row>
    <row r="55" spans="1:13">
      <c r="A55" s="342" t="s">
        <v>2589</v>
      </c>
      <c r="B55" s="342" t="s">
        <v>2590</v>
      </c>
      <c r="C55" s="342">
        <v>24022</v>
      </c>
      <c r="D55" s="343">
        <v>41884.000002997687</v>
      </c>
      <c r="E55" s="343">
        <v>42980.00000299768</v>
      </c>
      <c r="F55" s="344">
        <v>2000000000</v>
      </c>
      <c r="G55" s="344">
        <v>2000000000</v>
      </c>
      <c r="H55" s="341">
        <v>95</v>
      </c>
      <c r="I55" s="341">
        <v>40.700000000000003</v>
      </c>
      <c r="J55" s="341">
        <f>VLOOKUP(2402,收盤價!A:C,3,0)</f>
        <v>15.7</v>
      </c>
      <c r="K55" s="341">
        <v>2457</v>
      </c>
      <c r="L55" s="341">
        <v>100</v>
      </c>
      <c r="M55" s="354">
        <v>5.2600000000000001E-2</v>
      </c>
    </row>
    <row r="56" spans="1:13">
      <c r="A56" s="342" t="s">
        <v>2591</v>
      </c>
      <c r="B56" s="342" t="s">
        <v>2592</v>
      </c>
      <c r="C56" s="342">
        <v>24063</v>
      </c>
      <c r="D56" s="343">
        <v>42226.00000299768</v>
      </c>
      <c r="E56" s="343">
        <v>43322.00000299768</v>
      </c>
      <c r="F56" s="344">
        <v>800000000</v>
      </c>
      <c r="G56" s="344">
        <v>542200000</v>
      </c>
      <c r="H56" s="341">
        <v>172</v>
      </c>
      <c r="I56" s="341">
        <v>21.6</v>
      </c>
      <c r="J56" s="341">
        <f>VLOOKUP(2406,收盤價!A:C,3,0)</f>
        <v>36.25</v>
      </c>
      <c r="K56" s="341">
        <v>4630</v>
      </c>
      <c r="L56" s="341">
        <v>163.6705</v>
      </c>
      <c r="M56" s="354">
        <v>-4.8399999999999999E-2</v>
      </c>
    </row>
    <row r="57" spans="1:13">
      <c r="A57" s="342" t="s">
        <v>2591</v>
      </c>
      <c r="B57" s="342" t="s">
        <v>2592</v>
      </c>
      <c r="C57" s="342">
        <v>24060</v>
      </c>
      <c r="D57" s="343">
        <v>41782.000002997687</v>
      </c>
      <c r="E57" s="343">
        <v>42878.00000299768</v>
      </c>
      <c r="F57" s="344">
        <v>450000000</v>
      </c>
      <c r="G57" s="344">
        <v>414600000</v>
      </c>
    </row>
    <row r="58" spans="1:13">
      <c r="A58" s="342" t="s">
        <v>2593</v>
      </c>
      <c r="B58" s="342" t="s">
        <v>2594</v>
      </c>
      <c r="C58" s="342">
        <v>24193</v>
      </c>
      <c r="D58" s="343">
        <v>41305.000002997687</v>
      </c>
      <c r="E58" s="343">
        <v>42400.00000299768</v>
      </c>
      <c r="F58" s="344">
        <v>500000000</v>
      </c>
      <c r="G58" s="344">
        <v>34200000</v>
      </c>
      <c r="H58" s="341">
        <v>105</v>
      </c>
      <c r="I58" s="341">
        <v>14</v>
      </c>
      <c r="J58" s="341">
        <f>VLOOKUP(2419,收盤價!A:C,3,0)</f>
        <v>14.3</v>
      </c>
      <c r="K58" s="341">
        <v>7143</v>
      </c>
      <c r="L58" s="341">
        <v>102.14490000000001</v>
      </c>
      <c r="M58" s="354">
        <v>-2.7199999999999998E-2</v>
      </c>
    </row>
    <row r="59" spans="1:13">
      <c r="A59" s="342" t="s">
        <v>2595</v>
      </c>
      <c r="B59" s="342" t="s">
        <v>2596</v>
      </c>
      <c r="C59" s="342">
        <v>24268</v>
      </c>
      <c r="D59" s="343">
        <v>42083.00000299768</v>
      </c>
      <c r="E59" s="343">
        <v>43179.00000299768</v>
      </c>
      <c r="F59" s="344">
        <v>300000000</v>
      </c>
      <c r="G59" s="344">
        <v>160300000</v>
      </c>
      <c r="H59" s="341">
        <v>127</v>
      </c>
      <c r="I59" s="341">
        <v>12.61</v>
      </c>
      <c r="J59" s="341">
        <f>VLOOKUP(2426,收盤價!A:C,3,0)</f>
        <v>15.85</v>
      </c>
      <c r="K59" s="341">
        <v>7930</v>
      </c>
      <c r="L59" s="341">
        <v>125.6905</v>
      </c>
      <c r="M59" s="354">
        <v>-1.03E-2</v>
      </c>
    </row>
    <row r="60" spans="1:13">
      <c r="A60" s="342" t="s">
        <v>2597</v>
      </c>
      <c r="B60" s="342" t="s">
        <v>2598</v>
      </c>
      <c r="C60" s="342">
        <v>24283</v>
      </c>
      <c r="D60" s="343">
        <v>40564.000002997687</v>
      </c>
      <c r="E60" s="343">
        <v>42390.00000299768</v>
      </c>
      <c r="F60" s="344">
        <v>200000000</v>
      </c>
      <c r="G60" s="344">
        <v>7500000</v>
      </c>
      <c r="H60" s="341">
        <v>151</v>
      </c>
      <c r="I60" s="341">
        <v>35.299999999999997</v>
      </c>
      <c r="J60" s="341">
        <f>VLOOKUP(2428,收盤價!A:C,3,0)</f>
        <v>53.6</v>
      </c>
      <c r="K60" s="341">
        <v>2833</v>
      </c>
      <c r="L60" s="341">
        <v>149.01580000000001</v>
      </c>
      <c r="M60" s="354">
        <v>-1.3100000000000001E-2</v>
      </c>
    </row>
    <row r="61" spans="1:13">
      <c r="A61" s="342" t="s">
        <v>2599</v>
      </c>
      <c r="B61" s="342" t="s">
        <v>2600</v>
      </c>
      <c r="C61" s="342">
        <v>24371</v>
      </c>
      <c r="D61" s="343">
        <v>42019.00000299768</v>
      </c>
      <c r="E61" s="343">
        <v>43845.00000299768</v>
      </c>
      <c r="F61" s="344">
        <v>1200000000</v>
      </c>
      <c r="G61" s="344">
        <v>763000000</v>
      </c>
      <c r="H61" s="341">
        <v>106.35</v>
      </c>
      <c r="I61" s="341">
        <v>51.3</v>
      </c>
      <c r="J61" s="341">
        <f>VLOOKUP(2437,收盤價!A:C,3,0)</f>
        <v>51.6</v>
      </c>
      <c r="K61" s="341">
        <v>1949</v>
      </c>
      <c r="L61" s="341">
        <v>100</v>
      </c>
      <c r="M61" s="354">
        <v>-5.9700000000000003E-2</v>
      </c>
    </row>
    <row r="62" spans="1:13">
      <c r="A62" s="342" t="s">
        <v>2601</v>
      </c>
      <c r="B62" s="342" t="s">
        <v>2602</v>
      </c>
      <c r="C62" s="342">
        <v>24391</v>
      </c>
      <c r="D62" s="343">
        <v>42033.00000299768</v>
      </c>
      <c r="E62" s="343">
        <v>43129.00000299768</v>
      </c>
      <c r="F62" s="344">
        <v>1500000000</v>
      </c>
      <c r="G62" s="344">
        <v>1500000000</v>
      </c>
      <c r="H62" s="341">
        <v>98</v>
      </c>
      <c r="I62" s="341">
        <v>116.1</v>
      </c>
      <c r="J62" s="341">
        <f>VLOOKUP(2439,收盤價!A:C,3,0)</f>
        <v>60.4</v>
      </c>
      <c r="K62" s="341">
        <v>861</v>
      </c>
      <c r="L62" s="341">
        <v>100</v>
      </c>
      <c r="M62" s="354">
        <v>2.0400000000000001E-2</v>
      </c>
    </row>
    <row r="63" spans="1:13">
      <c r="A63" s="342" t="s">
        <v>2603</v>
      </c>
      <c r="B63" s="342" t="s">
        <v>2604</v>
      </c>
      <c r="C63" s="342">
        <v>24422</v>
      </c>
      <c r="D63" s="343">
        <v>41345.000002997687</v>
      </c>
      <c r="E63" s="343">
        <v>42806.00000299768</v>
      </c>
      <c r="F63" s="344">
        <v>400000000</v>
      </c>
      <c r="G63" s="344">
        <v>301900000</v>
      </c>
      <c r="H63" s="341">
        <v>108.25</v>
      </c>
      <c r="I63" s="341">
        <v>7.2</v>
      </c>
      <c r="J63" s="341">
        <f>VLOOKUP(2442,收盤價!A:C,3,0)</f>
        <v>6.69</v>
      </c>
      <c r="K63" s="341">
        <v>13889</v>
      </c>
      <c r="L63" s="341">
        <v>100</v>
      </c>
      <c r="M63" s="354">
        <v>-7.6200000000000004E-2</v>
      </c>
    </row>
    <row r="64" spans="1:13">
      <c r="A64" s="342" t="s">
        <v>2605</v>
      </c>
      <c r="B64" s="342" t="s">
        <v>2606</v>
      </c>
      <c r="C64" s="342">
        <v>24442</v>
      </c>
      <c r="D64" s="343">
        <v>42184.00000299768</v>
      </c>
      <c r="E64" s="343">
        <v>43280.00000299768</v>
      </c>
      <c r="F64" s="344">
        <v>300000000</v>
      </c>
      <c r="G64" s="344">
        <v>300000000</v>
      </c>
      <c r="H64" s="341">
        <v>102.05</v>
      </c>
      <c r="I64" s="341">
        <v>15</v>
      </c>
      <c r="J64" s="341">
        <f>VLOOKUP(2444,收盤價!A:C,3,0)</f>
        <v>11.4</v>
      </c>
      <c r="K64" s="341">
        <v>6667</v>
      </c>
      <c r="L64" s="341">
        <v>100</v>
      </c>
      <c r="M64" s="354">
        <v>-2.01E-2</v>
      </c>
    </row>
    <row r="65" spans="1:13">
      <c r="A65" s="342" t="s">
        <v>2607</v>
      </c>
      <c r="B65" s="342" t="s">
        <v>2608</v>
      </c>
      <c r="C65" s="342">
        <v>24564</v>
      </c>
      <c r="D65" s="343">
        <v>42153.00000299768</v>
      </c>
      <c r="E65" s="343">
        <v>43980.00000299768</v>
      </c>
      <c r="F65" s="344">
        <v>1500000000</v>
      </c>
      <c r="G65" s="344">
        <v>1500000000</v>
      </c>
      <c r="H65" s="341">
        <v>96.5</v>
      </c>
      <c r="I65" s="341">
        <v>71.900000000000006</v>
      </c>
      <c r="J65" s="341">
        <f>VLOOKUP(2456,收盤價!A:C,3,0)</f>
        <v>63</v>
      </c>
      <c r="K65" s="341">
        <v>1391</v>
      </c>
      <c r="L65" s="341">
        <v>100</v>
      </c>
      <c r="M65" s="354">
        <v>3.6299999999999999E-2</v>
      </c>
    </row>
    <row r="66" spans="1:13">
      <c r="A66" s="342" t="s">
        <v>2609</v>
      </c>
      <c r="B66" s="342" t="s">
        <v>2610</v>
      </c>
      <c r="C66" s="342">
        <v>24571</v>
      </c>
      <c r="D66" s="343">
        <v>41794.000002997687</v>
      </c>
      <c r="E66" s="343">
        <v>42890.00000299768</v>
      </c>
      <c r="F66" s="344">
        <v>1500000000</v>
      </c>
      <c r="G66" s="344">
        <v>1310800000</v>
      </c>
      <c r="H66" s="341">
        <v>95.9</v>
      </c>
      <c r="I66" s="341">
        <v>19</v>
      </c>
      <c r="J66" s="341">
        <f>VLOOKUP(2457,收盤價!A:C,3,0)</f>
        <v>13.35</v>
      </c>
      <c r="K66" s="341">
        <v>5263</v>
      </c>
      <c r="L66" s="341">
        <v>100</v>
      </c>
      <c r="M66" s="354">
        <v>4.2799999999999998E-2</v>
      </c>
    </row>
    <row r="67" spans="1:13">
      <c r="A67" s="342" t="s">
        <v>2611</v>
      </c>
      <c r="B67" s="342" t="s">
        <v>2612</v>
      </c>
      <c r="C67" s="342">
        <v>24614</v>
      </c>
      <c r="D67" s="343">
        <v>41929.000002997687</v>
      </c>
      <c r="E67" s="343">
        <v>43025.00000299768</v>
      </c>
      <c r="F67" s="344">
        <v>300000000</v>
      </c>
      <c r="G67" s="344">
        <v>300000000</v>
      </c>
      <c r="H67" s="341">
        <v>106.2</v>
      </c>
      <c r="I67" s="341">
        <v>16.2</v>
      </c>
      <c r="J67" s="341">
        <f>VLOOKUP(2461,收盤價!A:C,3,0)</f>
        <v>13.75</v>
      </c>
      <c r="K67" s="341">
        <v>6173</v>
      </c>
      <c r="L67" s="341">
        <v>100</v>
      </c>
      <c r="M67" s="354">
        <v>-5.8400000000000001E-2</v>
      </c>
    </row>
    <row r="68" spans="1:13">
      <c r="A68" s="342" t="s">
        <v>2611</v>
      </c>
      <c r="B68" s="342" t="s">
        <v>2612</v>
      </c>
      <c r="C68" s="342">
        <v>24615</v>
      </c>
      <c r="D68" s="343">
        <v>41932.000002997687</v>
      </c>
      <c r="E68" s="343">
        <v>43028.00000299768</v>
      </c>
      <c r="F68" s="344">
        <v>200000000</v>
      </c>
      <c r="G68" s="344">
        <v>200000000</v>
      </c>
      <c r="H68" s="341">
        <v>103</v>
      </c>
      <c r="I68" s="341">
        <v>16.3</v>
      </c>
      <c r="J68" s="341">
        <f>VLOOKUP(2461,收盤價!A:C,3,0)</f>
        <v>13.75</v>
      </c>
      <c r="K68" s="341">
        <v>6135</v>
      </c>
      <c r="L68" s="341">
        <v>100</v>
      </c>
      <c r="M68" s="354">
        <v>-2.9100000000000001E-2</v>
      </c>
    </row>
    <row r="69" spans="1:13">
      <c r="A69" s="342" t="s">
        <v>2613</v>
      </c>
      <c r="B69" s="342" t="s">
        <v>2614</v>
      </c>
      <c r="C69" s="342">
        <v>24622</v>
      </c>
      <c r="D69" s="343">
        <v>41064.000002997687</v>
      </c>
      <c r="E69" s="343">
        <v>42890.00000299768</v>
      </c>
      <c r="F69" s="344">
        <v>200000000</v>
      </c>
      <c r="G69" s="344">
        <v>38800000</v>
      </c>
      <c r="H69" s="341">
        <v>104.2</v>
      </c>
      <c r="I69" s="341">
        <v>22.22</v>
      </c>
      <c r="J69" s="341">
        <f>VLOOKUP(2462,收盤價!A:C,3,0)</f>
        <v>16.899999999999999</v>
      </c>
      <c r="K69" s="341">
        <v>4500</v>
      </c>
      <c r="L69" s="341">
        <v>100</v>
      </c>
      <c r="M69" s="354">
        <v>-4.0300000000000002E-2</v>
      </c>
    </row>
    <row r="70" spans="1:13">
      <c r="A70" s="342" t="s">
        <v>2615</v>
      </c>
      <c r="B70" s="342" t="s">
        <v>2616</v>
      </c>
      <c r="C70" s="342">
        <v>24662</v>
      </c>
      <c r="D70" s="343">
        <v>42321.00000299768</v>
      </c>
      <c r="E70" s="343">
        <v>43417.00000299768</v>
      </c>
      <c r="F70" s="344">
        <v>200000000</v>
      </c>
      <c r="G70" s="344">
        <v>200000000</v>
      </c>
      <c r="H70" s="341">
        <v>103.85</v>
      </c>
      <c r="I70" s="341">
        <v>37.200000000000003</v>
      </c>
      <c r="J70" s="341">
        <f>VLOOKUP(2466,收盤價!A:C,3,0)</f>
        <v>30</v>
      </c>
      <c r="K70" s="341">
        <v>2688</v>
      </c>
      <c r="L70" s="341">
        <v>100</v>
      </c>
      <c r="M70" s="354">
        <v>-3.7100000000000001E-2</v>
      </c>
    </row>
    <row r="71" spans="1:13">
      <c r="A71" s="342" t="s">
        <v>2617</v>
      </c>
      <c r="B71" s="342" t="s">
        <v>2618</v>
      </c>
      <c r="C71" s="342">
        <v>24781</v>
      </c>
      <c r="D71" s="343">
        <v>41302.000002997687</v>
      </c>
      <c r="E71" s="343">
        <v>43128.00000299768</v>
      </c>
      <c r="F71" s="344">
        <v>562500000</v>
      </c>
      <c r="G71" s="344">
        <v>233000000</v>
      </c>
      <c r="H71" s="341">
        <v>100.2</v>
      </c>
      <c r="I71" s="341">
        <v>17.2</v>
      </c>
      <c r="J71" s="341">
        <f>VLOOKUP(2478,收盤價!A:C,3,0)</f>
        <v>14.35</v>
      </c>
      <c r="K71" s="341">
        <v>5814</v>
      </c>
      <c r="L71" s="341">
        <v>100</v>
      </c>
      <c r="M71" s="354">
        <v>-2E-3</v>
      </c>
    </row>
    <row r="72" spans="1:13">
      <c r="A72" s="342" t="s">
        <v>2619</v>
      </c>
      <c r="B72" s="342" t="s">
        <v>2620</v>
      </c>
      <c r="C72" s="342">
        <v>24816</v>
      </c>
      <c r="D72" s="343">
        <v>41436.000002997687</v>
      </c>
      <c r="E72" s="343">
        <v>43262.00000299768</v>
      </c>
      <c r="F72" s="344">
        <v>350000000</v>
      </c>
      <c r="G72" s="344">
        <v>201800000</v>
      </c>
      <c r="H72" s="341">
        <v>121.35</v>
      </c>
      <c r="I72" s="341">
        <v>12.37</v>
      </c>
      <c r="J72" s="341">
        <f>VLOOKUP(2481,收盤價!A:C,3,0)</f>
        <v>14.5</v>
      </c>
      <c r="K72" s="341">
        <v>8084</v>
      </c>
      <c r="L72" s="341">
        <v>118.83479999999999</v>
      </c>
      <c r="M72" s="354">
        <v>-2.07E-2</v>
      </c>
    </row>
    <row r="73" spans="1:13">
      <c r="A73" s="342" t="s">
        <v>2619</v>
      </c>
      <c r="B73" s="342" t="s">
        <v>2620</v>
      </c>
      <c r="C73" s="342">
        <v>24817</v>
      </c>
      <c r="D73" s="343">
        <v>41438.000002997687</v>
      </c>
      <c r="E73" s="343">
        <v>43264.00000299768</v>
      </c>
      <c r="F73" s="344">
        <v>150000000</v>
      </c>
      <c r="G73" s="344">
        <v>22200000</v>
      </c>
      <c r="H73" s="341">
        <v>120.5</v>
      </c>
      <c r="I73" s="341">
        <v>12.34</v>
      </c>
      <c r="J73" s="341">
        <f>VLOOKUP(2481,收盤價!A:C,3,0)</f>
        <v>14.5</v>
      </c>
      <c r="K73" s="341">
        <v>8104</v>
      </c>
      <c r="L73" s="341">
        <v>119.12879999999998</v>
      </c>
      <c r="M73" s="354">
        <v>-1.14E-2</v>
      </c>
    </row>
    <row r="74" spans="1:13">
      <c r="A74" s="342" t="s">
        <v>2621</v>
      </c>
      <c r="B74" s="342" t="s">
        <v>2622</v>
      </c>
      <c r="C74" s="342">
        <v>24865</v>
      </c>
      <c r="D74" s="343">
        <v>41726.000002997687</v>
      </c>
      <c r="E74" s="343">
        <v>43552.00000299768</v>
      </c>
      <c r="F74" s="344">
        <v>1100000000</v>
      </c>
      <c r="G74" s="344">
        <v>1100000000</v>
      </c>
      <c r="H74" s="341">
        <v>96.5</v>
      </c>
      <c r="I74" s="341">
        <v>22.3</v>
      </c>
      <c r="J74" s="341">
        <f>VLOOKUP(2486,收盤價!A:C,3,0)</f>
        <v>10.199999999999999</v>
      </c>
      <c r="K74" s="341">
        <v>4484</v>
      </c>
      <c r="L74" s="341">
        <v>100</v>
      </c>
      <c r="M74" s="354">
        <v>3.6299999999999999E-2</v>
      </c>
    </row>
    <row r="75" spans="1:13">
      <c r="A75" s="342" t="s">
        <v>2623</v>
      </c>
      <c r="B75" s="342" t="s">
        <v>2624</v>
      </c>
      <c r="C75" s="342">
        <v>25151</v>
      </c>
      <c r="D75" s="343">
        <v>41694.000002997687</v>
      </c>
      <c r="E75" s="343">
        <v>42790.00000299768</v>
      </c>
      <c r="F75" s="344">
        <v>300000000</v>
      </c>
      <c r="G75" s="344">
        <v>300000000</v>
      </c>
      <c r="H75" s="341">
        <v>102.5</v>
      </c>
      <c r="I75" s="341">
        <v>8.3000000000000007</v>
      </c>
      <c r="J75" s="341">
        <f>VLOOKUP(2515,收盤價!A:C,3,0)</f>
        <v>7.01</v>
      </c>
      <c r="K75" s="341">
        <v>12048</v>
      </c>
      <c r="L75" s="341">
        <v>100</v>
      </c>
      <c r="M75" s="354">
        <v>-2.4400000000000002E-2</v>
      </c>
    </row>
    <row r="76" spans="1:13">
      <c r="A76" s="342" t="s">
        <v>2623</v>
      </c>
      <c r="B76" s="342" t="s">
        <v>2624</v>
      </c>
      <c r="C76" s="342">
        <v>25152</v>
      </c>
      <c r="D76" s="343">
        <v>41695.000002997687</v>
      </c>
      <c r="E76" s="343">
        <v>43521.00000299768</v>
      </c>
      <c r="F76" s="344">
        <v>500000000</v>
      </c>
      <c r="G76" s="344">
        <v>500000000</v>
      </c>
      <c r="H76" s="341">
        <v>99.95</v>
      </c>
      <c r="I76" s="341">
        <v>8.3000000000000007</v>
      </c>
      <c r="J76" s="341">
        <f>VLOOKUP(2515,收盤價!A:C,3,0)</f>
        <v>7.01</v>
      </c>
      <c r="K76" s="341">
        <v>12048</v>
      </c>
      <c r="L76" s="341">
        <v>100</v>
      </c>
      <c r="M76" s="354">
        <v>5.0000000000000001E-4</v>
      </c>
    </row>
    <row r="77" spans="1:13">
      <c r="A77" s="342" t="s">
        <v>2625</v>
      </c>
      <c r="B77" s="342" t="s">
        <v>2626</v>
      </c>
      <c r="C77" s="342">
        <v>25281</v>
      </c>
      <c r="D77" s="343">
        <v>41023.000002997687</v>
      </c>
      <c r="E77" s="343">
        <v>42849.00000299768</v>
      </c>
      <c r="F77" s="344">
        <v>407000000</v>
      </c>
      <c r="G77" s="344">
        <v>196200000</v>
      </c>
      <c r="H77" s="341">
        <v>116.5</v>
      </c>
      <c r="I77" s="341">
        <v>9.5</v>
      </c>
      <c r="J77" s="341">
        <f>VLOOKUP(2528,收盤價!A:C,3,0)</f>
        <v>8.6</v>
      </c>
      <c r="K77" s="341">
        <v>10526</v>
      </c>
      <c r="L77" s="341">
        <v>100</v>
      </c>
      <c r="M77" s="354">
        <v>-0.1416</v>
      </c>
    </row>
    <row r="78" spans="1:13">
      <c r="A78" s="342" t="s">
        <v>2627</v>
      </c>
      <c r="B78" s="342" t="s">
        <v>2628</v>
      </c>
      <c r="C78" s="342">
        <v>25352</v>
      </c>
      <c r="D78" s="343">
        <v>41649.000002997687</v>
      </c>
      <c r="E78" s="343">
        <v>43475.00000299768</v>
      </c>
      <c r="F78" s="344">
        <v>600000000</v>
      </c>
      <c r="G78" s="344">
        <v>600000000</v>
      </c>
      <c r="H78" s="341">
        <v>99.9</v>
      </c>
      <c r="I78" s="341">
        <v>23.5</v>
      </c>
      <c r="J78" s="341">
        <f>VLOOKUP(2535,收盤價!A:C,3,0)</f>
        <v>14.15</v>
      </c>
      <c r="K78" s="341">
        <v>4255</v>
      </c>
      <c r="L78" s="341">
        <v>100</v>
      </c>
      <c r="M78" s="354">
        <v>1E-3</v>
      </c>
    </row>
    <row r="79" spans="1:13">
      <c r="A79" s="342" t="s">
        <v>2627</v>
      </c>
      <c r="B79" s="342" t="s">
        <v>2628</v>
      </c>
      <c r="C79" s="342">
        <v>25353</v>
      </c>
      <c r="D79" s="343">
        <v>41653.000002997687</v>
      </c>
      <c r="E79" s="343">
        <v>43479.00000299768</v>
      </c>
      <c r="F79" s="344">
        <v>600000000</v>
      </c>
      <c r="G79" s="344">
        <v>600000000</v>
      </c>
      <c r="H79" s="341">
        <v>99.1</v>
      </c>
      <c r="I79" s="341">
        <v>23.6</v>
      </c>
      <c r="J79" s="341">
        <f>VLOOKUP(2535,收盤價!A:C,3,0)</f>
        <v>14.15</v>
      </c>
      <c r="K79" s="341">
        <v>4237</v>
      </c>
      <c r="L79" s="341">
        <v>100</v>
      </c>
      <c r="M79" s="354">
        <v>9.1000000000000004E-3</v>
      </c>
    </row>
    <row r="80" spans="1:13">
      <c r="A80" s="342" t="s">
        <v>2629</v>
      </c>
      <c r="B80" s="342" t="s">
        <v>2630</v>
      </c>
      <c r="C80" s="342">
        <v>25375</v>
      </c>
      <c r="D80" s="343">
        <v>41583.000002997687</v>
      </c>
      <c r="E80" s="343">
        <v>43409.00000299768</v>
      </c>
      <c r="F80" s="344">
        <v>400000000</v>
      </c>
      <c r="G80" s="344">
        <v>400000000</v>
      </c>
      <c r="H80" s="341">
        <v>98.7</v>
      </c>
      <c r="I80" s="341">
        <v>14.09</v>
      </c>
      <c r="J80" s="341">
        <f>VLOOKUP(2537,收盤價!A:C,3,0)</f>
        <v>8.6</v>
      </c>
      <c r="K80" s="341">
        <v>7097</v>
      </c>
      <c r="L80" s="341">
        <v>100</v>
      </c>
      <c r="M80" s="354">
        <v>1.32E-2</v>
      </c>
    </row>
    <row r="81" spans="1:13">
      <c r="A81" s="342" t="s">
        <v>2629</v>
      </c>
      <c r="B81" s="342" t="s">
        <v>2630</v>
      </c>
      <c r="C81" s="342">
        <v>25373</v>
      </c>
      <c r="D81" s="343">
        <v>41152.000002997687</v>
      </c>
      <c r="E81" s="343">
        <v>42978.00000299768</v>
      </c>
      <c r="F81" s="344">
        <v>176750000</v>
      </c>
      <c r="G81" s="344">
        <v>300000</v>
      </c>
    </row>
    <row r="82" spans="1:13">
      <c r="A82" s="342" t="s">
        <v>2631</v>
      </c>
      <c r="B82" s="342" t="s">
        <v>2632</v>
      </c>
      <c r="C82" s="342">
        <v>25383</v>
      </c>
      <c r="D82" s="343">
        <v>41586.000002997687</v>
      </c>
      <c r="E82" s="343">
        <v>43412.00000299768</v>
      </c>
      <c r="F82" s="344">
        <v>1000000000</v>
      </c>
      <c r="G82" s="344">
        <v>1000000000</v>
      </c>
      <c r="H82" s="341">
        <v>109</v>
      </c>
      <c r="I82" s="341">
        <v>18.399999999999999</v>
      </c>
      <c r="J82" s="341">
        <f>VLOOKUP(2538,收盤價!A:C,3,0)</f>
        <v>14.75</v>
      </c>
      <c r="K82" s="341">
        <v>5435</v>
      </c>
      <c r="L82" s="341">
        <v>100</v>
      </c>
      <c r="M82" s="354">
        <v>-8.2600000000000007E-2</v>
      </c>
    </row>
    <row r="83" spans="1:13">
      <c r="A83" s="342" t="s">
        <v>2633</v>
      </c>
      <c r="B83" s="342" t="s">
        <v>2634</v>
      </c>
      <c r="C83" s="342">
        <v>25474</v>
      </c>
      <c r="D83" s="343">
        <v>40976.000002997687</v>
      </c>
      <c r="E83" s="343">
        <v>42437.00000299768</v>
      </c>
      <c r="F83" s="344">
        <v>800000000</v>
      </c>
      <c r="G83" s="344">
        <v>313300000</v>
      </c>
      <c r="H83" s="341">
        <v>105</v>
      </c>
      <c r="I83" s="341">
        <v>20.5</v>
      </c>
      <c r="J83" s="341">
        <f>VLOOKUP(2547,收盤價!A:C,3,0)</f>
        <v>11.6</v>
      </c>
      <c r="K83" s="341">
        <v>4878</v>
      </c>
      <c r="L83" s="341">
        <v>100</v>
      </c>
      <c r="M83" s="354">
        <v>-4.7600000000000003E-2</v>
      </c>
    </row>
    <row r="84" spans="1:13">
      <c r="A84" s="342" t="s">
        <v>2635</v>
      </c>
      <c r="B84" s="342" t="s">
        <v>2386</v>
      </c>
      <c r="C84" s="342">
        <v>25962</v>
      </c>
      <c r="D84" s="343">
        <v>41807.000002997687</v>
      </c>
      <c r="E84" s="343">
        <v>42903.00000299768</v>
      </c>
      <c r="F84" s="344">
        <v>300000000</v>
      </c>
      <c r="G84" s="344">
        <v>300000000</v>
      </c>
      <c r="H84" s="341">
        <v>106</v>
      </c>
      <c r="I84" s="341">
        <v>16.190000000000001</v>
      </c>
      <c r="J84" s="341">
        <f>VLOOKUP(2596,收盤價!A:C,3,0)</f>
        <v>12.6</v>
      </c>
      <c r="K84" s="341">
        <v>6177</v>
      </c>
      <c r="L84" s="341">
        <v>100</v>
      </c>
      <c r="M84" s="354">
        <v>-5.6599999999999998E-2</v>
      </c>
    </row>
    <row r="85" spans="1:13">
      <c r="A85" s="342" t="s">
        <v>2636</v>
      </c>
      <c r="B85" s="342" t="s">
        <v>2637</v>
      </c>
      <c r="C85" s="342">
        <v>26012</v>
      </c>
      <c r="D85" s="343">
        <v>42044.00000299768</v>
      </c>
      <c r="E85" s="343">
        <v>43140.00000299768</v>
      </c>
      <c r="F85" s="344">
        <v>100000000</v>
      </c>
      <c r="G85" s="344">
        <v>100000000</v>
      </c>
      <c r="H85" s="341">
        <v>104</v>
      </c>
      <c r="I85" s="341">
        <v>17.399999999999999</v>
      </c>
      <c r="J85" s="341">
        <f>VLOOKUP(2601,收盤價!A:C,3,0)</f>
        <v>9.7200000000000006</v>
      </c>
      <c r="K85" s="341">
        <v>5747</v>
      </c>
      <c r="L85" s="341">
        <v>100</v>
      </c>
      <c r="M85" s="354">
        <v>-3.85E-2</v>
      </c>
    </row>
    <row r="86" spans="1:13">
      <c r="A86" s="342" t="s">
        <v>2636</v>
      </c>
      <c r="B86" s="342" t="s">
        <v>2637</v>
      </c>
      <c r="C86" s="342">
        <v>26011</v>
      </c>
      <c r="D86" s="343">
        <v>42041.00000299768</v>
      </c>
      <c r="E86" s="343">
        <v>43137.00000299768</v>
      </c>
      <c r="F86" s="344">
        <v>900000000</v>
      </c>
      <c r="G86" s="344">
        <v>900000000</v>
      </c>
      <c r="H86" s="341">
        <v>101.8</v>
      </c>
      <c r="I86" s="341">
        <v>17.399999999999999</v>
      </c>
      <c r="J86" s="341">
        <f>VLOOKUP(2601,收盤價!A:C,3,0)</f>
        <v>9.7200000000000006</v>
      </c>
      <c r="K86" s="341">
        <v>5747</v>
      </c>
      <c r="L86" s="341">
        <v>100</v>
      </c>
      <c r="M86" s="354">
        <v>-1.77E-2</v>
      </c>
    </row>
    <row r="87" spans="1:13">
      <c r="A87" s="342" t="s">
        <v>2638</v>
      </c>
      <c r="B87" s="342" t="s">
        <v>2641</v>
      </c>
      <c r="C87" s="342">
        <v>26094</v>
      </c>
      <c r="D87" s="343">
        <v>41432.000002997687</v>
      </c>
      <c r="E87" s="343">
        <v>43258.00000299768</v>
      </c>
      <c r="F87" s="344">
        <v>4600000000</v>
      </c>
      <c r="G87" s="344">
        <v>1957100000</v>
      </c>
      <c r="H87" s="341">
        <v>99.65</v>
      </c>
      <c r="I87" s="341">
        <v>14.23</v>
      </c>
      <c r="J87" s="341">
        <f>VLOOKUP(2609,收盤價!A:C,3,0)</f>
        <v>8.77</v>
      </c>
      <c r="K87" s="341">
        <v>7027</v>
      </c>
      <c r="L87" s="341">
        <v>100</v>
      </c>
      <c r="M87" s="354">
        <v>3.5000000000000001E-3</v>
      </c>
    </row>
    <row r="88" spans="1:13">
      <c r="A88" s="342" t="s">
        <v>2638</v>
      </c>
      <c r="B88" s="342" t="s">
        <v>2639</v>
      </c>
      <c r="C88" s="342" t="s">
        <v>2640</v>
      </c>
      <c r="D88" s="343">
        <v>41087.000002997687</v>
      </c>
      <c r="E88" s="343">
        <v>43643.00000299768</v>
      </c>
      <c r="F88" s="344">
        <v>5800000000</v>
      </c>
      <c r="G88" s="344">
        <v>5800000000</v>
      </c>
      <c r="H88" s="341">
        <v>99.65</v>
      </c>
      <c r="I88" s="341">
        <v>14.23</v>
      </c>
      <c r="J88" s="341">
        <f>VLOOKUP(2609,收盤價!A:C,3,0)</f>
        <v>8.77</v>
      </c>
      <c r="K88" s="341">
        <v>7027</v>
      </c>
      <c r="L88" s="341">
        <v>100</v>
      </c>
      <c r="M88" s="354">
        <v>3.5000000000000001E-3</v>
      </c>
    </row>
    <row r="89" spans="1:13">
      <c r="A89" s="342" t="s">
        <v>2642</v>
      </c>
      <c r="B89" s="342" t="s">
        <v>2643</v>
      </c>
      <c r="C89" s="342">
        <v>26105</v>
      </c>
      <c r="D89" s="343">
        <v>41634.000002997687</v>
      </c>
      <c r="E89" s="343">
        <v>43460.00000299768</v>
      </c>
      <c r="F89" s="344">
        <v>6000000000</v>
      </c>
      <c r="G89" s="344">
        <v>2684300000</v>
      </c>
      <c r="H89" s="341">
        <v>110.2</v>
      </c>
      <c r="I89" s="341">
        <v>12.24</v>
      </c>
      <c r="J89" s="341">
        <f>VLOOKUP(2610,收盤價!A:C,3,0)</f>
        <v>12</v>
      </c>
      <c r="K89" s="341">
        <v>8170</v>
      </c>
      <c r="L89" s="341">
        <v>100</v>
      </c>
      <c r="M89" s="354">
        <v>-9.2600000000000002E-2</v>
      </c>
    </row>
    <row r="90" spans="1:13">
      <c r="A90" s="342" t="s">
        <v>2644</v>
      </c>
      <c r="B90" s="342" t="s">
        <v>2645</v>
      </c>
      <c r="C90" s="342">
        <v>26131</v>
      </c>
      <c r="D90" s="343">
        <v>42306.00000299768</v>
      </c>
      <c r="E90" s="343">
        <v>43402.00000299768</v>
      </c>
      <c r="F90" s="344">
        <v>150000000</v>
      </c>
      <c r="G90" s="344">
        <v>150000000</v>
      </c>
      <c r="H90" s="341">
        <v>105.2</v>
      </c>
      <c r="I90" s="341">
        <v>14.5</v>
      </c>
      <c r="J90" s="341">
        <f>VLOOKUP(2613,收盤價!A:C,3,0)</f>
        <v>13.35</v>
      </c>
      <c r="K90" s="341">
        <v>6897</v>
      </c>
      <c r="L90" s="341">
        <v>100</v>
      </c>
      <c r="M90" s="354">
        <v>-4.9399999999999999E-2</v>
      </c>
    </row>
    <row r="91" spans="1:13">
      <c r="A91" s="342" t="s">
        <v>2644</v>
      </c>
      <c r="B91" s="342" t="s">
        <v>2645</v>
      </c>
      <c r="C91" s="342">
        <v>26132</v>
      </c>
      <c r="D91" s="343">
        <v>42307.00000299768</v>
      </c>
      <c r="E91" s="343">
        <v>43403.00000299768</v>
      </c>
      <c r="F91" s="344">
        <v>150000000</v>
      </c>
      <c r="G91" s="344">
        <v>150000000</v>
      </c>
      <c r="H91" s="341">
        <v>99.8</v>
      </c>
      <c r="I91" s="341">
        <v>14.4</v>
      </c>
      <c r="J91" s="341">
        <f>VLOOKUP(2613,收盤價!A:C,3,0)</f>
        <v>13.35</v>
      </c>
      <c r="K91" s="341">
        <v>6944</v>
      </c>
      <c r="L91" s="341">
        <v>100</v>
      </c>
      <c r="M91" s="354">
        <v>2E-3</v>
      </c>
    </row>
    <row r="92" spans="1:13">
      <c r="A92" s="342" t="s">
        <v>2646</v>
      </c>
      <c r="B92" s="342" t="s">
        <v>2647</v>
      </c>
      <c r="C92" s="342">
        <v>26163</v>
      </c>
      <c r="D92" s="343">
        <v>41953.00000299768</v>
      </c>
      <c r="E92" s="343">
        <v>43779.00000299768</v>
      </c>
      <c r="F92" s="344">
        <v>500000000</v>
      </c>
      <c r="G92" s="344">
        <v>499900000</v>
      </c>
      <c r="H92" s="341">
        <v>102</v>
      </c>
      <c r="I92" s="341">
        <v>22.3</v>
      </c>
      <c r="J92" s="341">
        <f>VLOOKUP(2616,收盤價!A:C,3,0)</f>
        <v>22.7</v>
      </c>
      <c r="K92" s="341">
        <v>4484</v>
      </c>
      <c r="L92" s="341">
        <v>102.23519999999999</v>
      </c>
      <c r="M92" s="354">
        <v>2.3E-3</v>
      </c>
    </row>
    <row r="93" spans="1:13">
      <c r="A93" s="342" t="s">
        <v>2648</v>
      </c>
      <c r="B93" s="342" t="s">
        <v>2389</v>
      </c>
      <c r="C93" s="342">
        <v>26362</v>
      </c>
      <c r="D93" s="343">
        <v>41662.000002997687</v>
      </c>
      <c r="E93" s="343">
        <v>42758.00000299768</v>
      </c>
      <c r="F93" s="344">
        <v>300000000</v>
      </c>
      <c r="G93" s="344">
        <v>111500000</v>
      </c>
      <c r="H93" s="341">
        <v>134.15</v>
      </c>
      <c r="I93" s="341">
        <v>23.5</v>
      </c>
      <c r="J93" s="341">
        <f>VLOOKUP(2636,收盤價!A:C,3,0)</f>
        <v>28.5</v>
      </c>
      <c r="K93" s="341">
        <v>4255</v>
      </c>
      <c r="L93" s="341">
        <v>119.77825</v>
      </c>
      <c r="M93" s="354">
        <v>-0.1071</v>
      </c>
    </row>
    <row r="94" spans="1:13">
      <c r="A94" s="342" t="s">
        <v>2648</v>
      </c>
      <c r="B94" s="342" t="s">
        <v>2389</v>
      </c>
      <c r="C94" s="342">
        <v>26363</v>
      </c>
      <c r="D94" s="343">
        <v>42164.00000299768</v>
      </c>
      <c r="E94" s="343">
        <v>43260.00000299768</v>
      </c>
      <c r="F94" s="344">
        <v>300000000</v>
      </c>
      <c r="G94" s="344">
        <v>300000000</v>
      </c>
      <c r="H94" s="341">
        <v>106.5</v>
      </c>
      <c r="I94" s="341">
        <v>29.7</v>
      </c>
      <c r="J94" s="341">
        <f>VLOOKUP(2636,收盤價!A:C,3,0)</f>
        <v>28.5</v>
      </c>
      <c r="K94" s="341">
        <v>3367</v>
      </c>
      <c r="L94" s="341">
        <v>100</v>
      </c>
      <c r="M94" s="354">
        <v>-6.0999999999999999E-2</v>
      </c>
    </row>
    <row r="95" spans="1:13">
      <c r="A95" s="342" t="s">
        <v>2648</v>
      </c>
      <c r="B95" s="342" t="s">
        <v>2649</v>
      </c>
      <c r="C95" s="342">
        <v>26361</v>
      </c>
      <c r="D95" s="343">
        <v>40570.000002997687</v>
      </c>
      <c r="E95" s="343">
        <v>42396.00000299768</v>
      </c>
      <c r="F95" s="344">
        <v>500000000</v>
      </c>
      <c r="G95" s="344">
        <v>0</v>
      </c>
    </row>
    <row r="96" spans="1:13">
      <c r="A96" s="342" t="s">
        <v>2650</v>
      </c>
      <c r="B96" s="342" t="s">
        <v>2651</v>
      </c>
      <c r="C96" s="342">
        <v>26371</v>
      </c>
      <c r="D96" s="343">
        <v>40997.000002997687</v>
      </c>
      <c r="E96" s="343">
        <v>42823.00000299768</v>
      </c>
      <c r="F96" s="344">
        <v>600000000</v>
      </c>
      <c r="G96" s="344">
        <v>28900000</v>
      </c>
      <c r="H96" s="341">
        <v>115</v>
      </c>
      <c r="I96" s="341">
        <v>31.3</v>
      </c>
      <c r="J96" s="341">
        <f>VLOOKUP(2637,收盤價!A:C,3,0)</f>
        <v>36.299999999999997</v>
      </c>
      <c r="K96" s="341">
        <v>3195</v>
      </c>
      <c r="L96" s="341">
        <v>115.02</v>
      </c>
      <c r="M96" s="354">
        <v>2.0000000000000001E-4</v>
      </c>
    </row>
    <row r="97" spans="1:13">
      <c r="A97" s="342" t="s">
        <v>2652</v>
      </c>
      <c r="B97" s="342" t="s">
        <v>1456</v>
      </c>
      <c r="C97" s="342">
        <v>26401</v>
      </c>
      <c r="D97" s="343">
        <v>41799.000002997687</v>
      </c>
      <c r="E97" s="343">
        <v>42895.00000299768</v>
      </c>
      <c r="F97" s="344">
        <v>1000000000</v>
      </c>
      <c r="G97" s="344">
        <v>999600000</v>
      </c>
      <c r="H97" s="341">
        <v>100.8</v>
      </c>
      <c r="I97" s="341">
        <v>110.4</v>
      </c>
      <c r="J97" s="341">
        <f>VLOOKUP(2640,收盤價!A:C,3,0)</f>
        <v>65.3</v>
      </c>
      <c r="K97" s="341">
        <v>906</v>
      </c>
      <c r="L97" s="341">
        <v>100</v>
      </c>
      <c r="M97" s="354">
        <v>-7.9000000000000008E-3</v>
      </c>
    </row>
    <row r="98" spans="1:13">
      <c r="A98" s="342" t="s">
        <v>2653</v>
      </c>
      <c r="B98" s="342" t="s">
        <v>2390</v>
      </c>
      <c r="C98" s="342">
        <v>26411</v>
      </c>
      <c r="D98" s="343">
        <v>42012.00000299768</v>
      </c>
      <c r="E98" s="343">
        <v>43108.00000299768</v>
      </c>
      <c r="F98" s="344">
        <v>250000000</v>
      </c>
      <c r="G98" s="344">
        <v>250000000</v>
      </c>
      <c r="H98" s="341">
        <v>104</v>
      </c>
      <c r="I98" s="341">
        <v>11.18</v>
      </c>
      <c r="J98" s="341">
        <f>VLOOKUP(2641,收盤價!A:C,3,0)</f>
        <v>8.4499999999999993</v>
      </c>
      <c r="K98" s="341">
        <v>8945</v>
      </c>
      <c r="L98" s="341">
        <v>100</v>
      </c>
      <c r="M98" s="354">
        <v>-3.85E-2</v>
      </c>
    </row>
    <row r="99" spans="1:13">
      <c r="A99" s="342" t="s">
        <v>2653</v>
      </c>
      <c r="B99" s="342" t="s">
        <v>2390</v>
      </c>
      <c r="C99" s="342">
        <v>26412</v>
      </c>
      <c r="D99" s="343">
        <v>42013.00000299768</v>
      </c>
      <c r="E99" s="343">
        <v>43109.00000299768</v>
      </c>
      <c r="F99" s="344">
        <v>100000000</v>
      </c>
      <c r="G99" s="344">
        <v>99500000</v>
      </c>
      <c r="H99" s="341">
        <v>99</v>
      </c>
      <c r="I99" s="341">
        <v>11.18</v>
      </c>
      <c r="J99" s="341">
        <f>VLOOKUP(2641,收盤價!A:C,3,0)</f>
        <v>8.4499999999999993</v>
      </c>
      <c r="K99" s="341">
        <v>8945</v>
      </c>
      <c r="L99" s="341">
        <v>100</v>
      </c>
      <c r="M99" s="354">
        <v>1.01E-2</v>
      </c>
    </row>
    <row r="100" spans="1:13">
      <c r="A100" s="342" t="s">
        <v>2654</v>
      </c>
      <c r="B100" s="342" t="s">
        <v>2655</v>
      </c>
      <c r="C100" s="342">
        <v>27071</v>
      </c>
      <c r="D100" s="343">
        <v>41465.000002997687</v>
      </c>
      <c r="E100" s="343">
        <v>43291.00000299768</v>
      </c>
      <c r="F100" s="344">
        <v>1500000000</v>
      </c>
      <c r="G100" s="344">
        <v>1500000000</v>
      </c>
      <c r="H100" s="341">
        <v>99.8</v>
      </c>
      <c r="I100" s="341">
        <v>292.39999999999998</v>
      </c>
      <c r="J100" s="341">
        <f>VLOOKUP(2707,收盤價!A:C,3,0)</f>
        <v>225.5</v>
      </c>
      <c r="K100" s="341">
        <v>342</v>
      </c>
      <c r="L100" s="341">
        <v>100</v>
      </c>
      <c r="M100" s="354">
        <v>2E-3</v>
      </c>
    </row>
    <row r="101" spans="1:13">
      <c r="A101" s="342" t="s">
        <v>2656</v>
      </c>
      <c r="B101" s="342" t="s">
        <v>1458</v>
      </c>
      <c r="C101" s="342">
        <v>27241</v>
      </c>
      <c r="D101" s="343">
        <v>41544.000002997687</v>
      </c>
      <c r="E101" s="343">
        <v>42640.00000299768</v>
      </c>
      <c r="F101" s="344">
        <v>200000000</v>
      </c>
      <c r="G101" s="344">
        <v>800000</v>
      </c>
      <c r="H101" s="341">
        <v>97</v>
      </c>
      <c r="I101" s="341">
        <v>43.6</v>
      </c>
      <c r="J101" s="341">
        <f>VLOOKUP(2724,收盤價!A:C,3,0)</f>
        <v>14.15</v>
      </c>
      <c r="K101" s="341">
        <v>2294</v>
      </c>
      <c r="L101" s="341">
        <v>100</v>
      </c>
      <c r="M101" s="354">
        <v>3.09E-2</v>
      </c>
    </row>
    <row r="102" spans="1:13">
      <c r="A102" s="342" t="s">
        <v>2657</v>
      </c>
      <c r="B102" s="342" t="s">
        <v>1459</v>
      </c>
      <c r="C102" s="342">
        <v>27261</v>
      </c>
      <c r="D102" s="343">
        <v>42327.00000299768</v>
      </c>
      <c r="E102" s="343">
        <v>43423.00000299768</v>
      </c>
      <c r="F102" s="344">
        <v>200000000</v>
      </c>
      <c r="G102" s="344">
        <v>200000000</v>
      </c>
      <c r="H102" s="341">
        <v>122</v>
      </c>
      <c r="I102" s="341">
        <v>50</v>
      </c>
      <c r="J102" s="341">
        <f>VLOOKUP(2726,收盤價!A:C,3,0)</f>
        <v>63.6</v>
      </c>
      <c r="K102" s="341">
        <v>2000</v>
      </c>
      <c r="L102" s="341">
        <v>127</v>
      </c>
      <c r="M102" s="354">
        <v>4.1000000000000002E-2</v>
      </c>
    </row>
    <row r="103" spans="1:13">
      <c r="A103" s="342" t="s">
        <v>2658</v>
      </c>
      <c r="B103" s="342" t="s">
        <v>282</v>
      </c>
      <c r="C103" s="342">
        <v>27341</v>
      </c>
      <c r="D103" s="343">
        <v>42150.00000299768</v>
      </c>
      <c r="E103" s="343">
        <v>43246.00000299768</v>
      </c>
      <c r="F103" s="344">
        <v>300000000</v>
      </c>
      <c r="G103" s="344">
        <v>300000000</v>
      </c>
      <c r="H103" s="341">
        <v>109</v>
      </c>
      <c r="I103" s="341">
        <v>36.200000000000003</v>
      </c>
      <c r="J103" s="341">
        <f>VLOOKUP(2734,收盤價!A:C,3,0)</f>
        <v>24.05</v>
      </c>
      <c r="K103" s="341">
        <v>2762</v>
      </c>
      <c r="L103" s="341">
        <v>100</v>
      </c>
      <c r="M103" s="354">
        <v>-8.2600000000000007E-2</v>
      </c>
    </row>
    <row r="104" spans="1:13">
      <c r="A104" s="342" t="s">
        <v>2659</v>
      </c>
      <c r="B104" s="342" t="s">
        <v>2660</v>
      </c>
      <c r="C104" s="342">
        <v>28411</v>
      </c>
      <c r="D104" s="343">
        <v>42234.00000299768</v>
      </c>
      <c r="E104" s="343">
        <v>43330.00000299768</v>
      </c>
      <c r="F104" s="344">
        <v>200000000</v>
      </c>
      <c r="G104" s="344">
        <v>200000000</v>
      </c>
      <c r="H104" s="341">
        <v>106</v>
      </c>
      <c r="I104" s="341">
        <v>10.76</v>
      </c>
      <c r="J104" s="341">
        <f>VLOOKUP(2841,收盤價!A:C,3,0)</f>
        <v>10.45</v>
      </c>
      <c r="K104" s="341">
        <v>9294</v>
      </c>
      <c r="L104" s="341">
        <v>100</v>
      </c>
      <c r="M104" s="354">
        <v>-5.6599999999999998E-2</v>
      </c>
    </row>
    <row r="105" spans="1:13">
      <c r="A105" s="342" t="s">
        <v>2661</v>
      </c>
      <c r="B105" s="342" t="s">
        <v>2662</v>
      </c>
      <c r="C105" s="342">
        <v>28860</v>
      </c>
      <c r="D105" s="343">
        <v>42241.00000299768</v>
      </c>
      <c r="E105" s="343">
        <v>43337.00000299768</v>
      </c>
      <c r="F105" s="344">
        <v>5800000000</v>
      </c>
      <c r="G105" s="344">
        <v>5800000000</v>
      </c>
    </row>
    <row r="106" spans="1:13">
      <c r="A106" s="342" t="s">
        <v>2663</v>
      </c>
      <c r="B106" s="342" t="s">
        <v>2664</v>
      </c>
      <c r="C106" s="342">
        <v>28883</v>
      </c>
      <c r="D106" s="343">
        <v>41022.000002997687</v>
      </c>
      <c r="E106" s="343">
        <v>42848.00000299768</v>
      </c>
      <c r="F106" s="344">
        <v>5000000000</v>
      </c>
      <c r="G106" s="344">
        <v>4095900000</v>
      </c>
      <c r="H106" s="341">
        <v>99.3</v>
      </c>
      <c r="I106" s="341">
        <v>9.1</v>
      </c>
      <c r="J106" s="341">
        <f>VLOOKUP(2888,收盤價!A:C,3,0)</f>
        <v>7.12</v>
      </c>
      <c r="K106" s="341">
        <v>10989</v>
      </c>
      <c r="L106" s="341">
        <v>100</v>
      </c>
      <c r="M106" s="354">
        <v>7.0000000000000001E-3</v>
      </c>
    </row>
    <row r="107" spans="1:13">
      <c r="A107" s="342" t="s">
        <v>2663</v>
      </c>
      <c r="B107" s="342" t="s">
        <v>2664</v>
      </c>
      <c r="C107" s="342">
        <v>28884</v>
      </c>
      <c r="D107" s="343">
        <v>41878.000002997687</v>
      </c>
      <c r="E107" s="343">
        <v>43704.00000299768</v>
      </c>
      <c r="F107" s="344">
        <v>5000000000</v>
      </c>
      <c r="G107" s="344">
        <v>5000000000</v>
      </c>
      <c r="H107" s="341">
        <v>98.5</v>
      </c>
      <c r="I107" s="341">
        <v>9.41</v>
      </c>
      <c r="J107" s="341">
        <f>VLOOKUP(2888,收盤價!A:C,3,0)</f>
        <v>7.12</v>
      </c>
      <c r="K107" s="341">
        <v>10627</v>
      </c>
      <c r="L107" s="341">
        <v>100</v>
      </c>
      <c r="M107" s="354">
        <v>1.52E-2</v>
      </c>
    </row>
    <row r="108" spans="1:13">
      <c r="A108" s="342" t="s">
        <v>2665</v>
      </c>
      <c r="B108" s="342" t="s">
        <v>2666</v>
      </c>
      <c r="C108" s="342">
        <v>29111</v>
      </c>
      <c r="D108" s="343">
        <v>41283.000002997687</v>
      </c>
      <c r="E108" s="343">
        <v>42378.00000299768</v>
      </c>
      <c r="F108" s="344">
        <v>600000000</v>
      </c>
      <c r="G108" s="344">
        <v>600000000</v>
      </c>
      <c r="H108" s="341">
        <v>99.75</v>
      </c>
      <c r="I108" s="341">
        <v>22.6</v>
      </c>
      <c r="J108" s="341">
        <f>VLOOKUP(2911,收盤價!A:C,3,0)</f>
        <v>18.2</v>
      </c>
      <c r="K108" s="341">
        <v>4425</v>
      </c>
      <c r="L108" s="341">
        <v>100</v>
      </c>
      <c r="M108" s="354">
        <v>2.5000000000000001E-3</v>
      </c>
    </row>
    <row r="109" spans="1:13">
      <c r="A109" s="342" t="s">
        <v>2667</v>
      </c>
      <c r="B109" s="342" t="s">
        <v>2668</v>
      </c>
      <c r="C109" s="342">
        <v>29151</v>
      </c>
      <c r="D109" s="343">
        <v>40556.000002997687</v>
      </c>
      <c r="E109" s="343">
        <v>42382.00000299768</v>
      </c>
      <c r="F109" s="344">
        <v>4000000000</v>
      </c>
      <c r="G109" s="344">
        <v>3994000000</v>
      </c>
      <c r="H109" s="341">
        <v>99.8</v>
      </c>
      <c r="I109" s="341">
        <v>67.2</v>
      </c>
      <c r="J109" s="341">
        <f>VLOOKUP(2915,收盤價!A:C,3,0)</f>
        <v>63.8</v>
      </c>
      <c r="K109" s="341">
        <v>1488</v>
      </c>
      <c r="L109" s="341">
        <v>100</v>
      </c>
      <c r="M109" s="354">
        <v>2E-3</v>
      </c>
    </row>
    <row r="110" spans="1:13">
      <c r="A110" s="342" t="s">
        <v>2669</v>
      </c>
      <c r="B110" s="342" t="s">
        <v>1463</v>
      </c>
      <c r="C110" s="342">
        <v>29242</v>
      </c>
      <c r="D110" s="343">
        <v>42291.00000299768</v>
      </c>
      <c r="E110" s="343">
        <v>43387.00000299768</v>
      </c>
      <c r="F110" s="344">
        <v>150000000</v>
      </c>
      <c r="G110" s="344">
        <v>150000000</v>
      </c>
      <c r="H110" s="341">
        <v>101.5</v>
      </c>
      <c r="I110" s="341">
        <v>72</v>
      </c>
      <c r="J110" s="341">
        <f>VLOOKUP(2924,收盤價!A:C,3,0)</f>
        <v>60.4</v>
      </c>
      <c r="K110" s="341">
        <v>1389</v>
      </c>
      <c r="L110" s="341">
        <v>100</v>
      </c>
      <c r="M110" s="354">
        <v>-1.4800000000000001E-2</v>
      </c>
    </row>
    <row r="111" spans="1:13">
      <c r="A111" s="342" t="s">
        <v>2669</v>
      </c>
      <c r="B111" s="342" t="s">
        <v>1463</v>
      </c>
      <c r="C111" s="342">
        <v>29243</v>
      </c>
      <c r="D111" s="343">
        <v>42292.00000299768</v>
      </c>
      <c r="E111" s="343">
        <v>43388.00000299768</v>
      </c>
      <c r="F111" s="344">
        <v>100000000</v>
      </c>
      <c r="G111" s="344">
        <v>100000000</v>
      </c>
      <c r="H111" s="341">
        <v>97.2</v>
      </c>
      <c r="I111" s="341">
        <v>70.400000000000006</v>
      </c>
      <c r="J111" s="341">
        <f>VLOOKUP(2924,收盤價!A:C,3,0)</f>
        <v>60.4</v>
      </c>
      <c r="K111" s="341">
        <v>1420</v>
      </c>
      <c r="L111" s="341">
        <v>100</v>
      </c>
      <c r="M111" s="354">
        <v>2.8799999999999999E-2</v>
      </c>
    </row>
    <row r="112" spans="1:13">
      <c r="A112" s="342" t="s">
        <v>2670</v>
      </c>
      <c r="B112" s="342" t="s">
        <v>2671</v>
      </c>
      <c r="C112" s="342">
        <v>30102</v>
      </c>
      <c r="D112" s="343">
        <v>41852.000002997687</v>
      </c>
      <c r="E112" s="343">
        <v>42948.00000299768</v>
      </c>
      <c r="F112" s="344">
        <v>1000000000</v>
      </c>
      <c r="G112" s="344">
        <v>1000000000</v>
      </c>
      <c r="H112" s="341">
        <v>98.95</v>
      </c>
      <c r="I112" s="341">
        <v>64.7</v>
      </c>
      <c r="J112" s="341">
        <f>VLOOKUP(3010,收盤價!A:C,3,0)</f>
        <v>44.6</v>
      </c>
      <c r="K112" s="341">
        <v>1546</v>
      </c>
      <c r="L112" s="341">
        <v>100</v>
      </c>
      <c r="M112" s="354">
        <v>1.06E-2</v>
      </c>
    </row>
    <row r="113" spans="1:13">
      <c r="A113" s="342" t="s">
        <v>2672</v>
      </c>
      <c r="B113" s="342" t="s">
        <v>2673</v>
      </c>
      <c r="C113" s="342">
        <v>30181</v>
      </c>
      <c r="D113" s="343">
        <v>41962.00000299768</v>
      </c>
      <c r="E113" s="343">
        <v>43058.00000299768</v>
      </c>
      <c r="F113" s="344">
        <v>75000000</v>
      </c>
      <c r="G113" s="344">
        <v>67100000</v>
      </c>
      <c r="H113" s="341">
        <v>104.8</v>
      </c>
      <c r="I113" s="341">
        <v>20.100000000000001</v>
      </c>
      <c r="J113" s="341">
        <f>VLOOKUP(3018,收盤價!A:C,3,0)</f>
        <v>15</v>
      </c>
      <c r="K113" s="341">
        <v>4975</v>
      </c>
      <c r="L113" s="341">
        <v>100</v>
      </c>
      <c r="M113" s="354">
        <v>-4.58E-2</v>
      </c>
    </row>
    <row r="114" spans="1:13">
      <c r="A114" s="342" t="s">
        <v>2672</v>
      </c>
      <c r="B114" s="342" t="s">
        <v>2673</v>
      </c>
      <c r="C114" s="342">
        <v>30182</v>
      </c>
      <c r="D114" s="343">
        <v>41963.00000299768</v>
      </c>
      <c r="E114" s="343">
        <v>43059.00000299768</v>
      </c>
      <c r="F114" s="344">
        <v>115000000</v>
      </c>
      <c r="G114" s="344">
        <v>84300000</v>
      </c>
      <c r="H114" s="341">
        <v>101.05</v>
      </c>
      <c r="I114" s="341">
        <v>20</v>
      </c>
      <c r="J114" s="341">
        <f>VLOOKUP(3018,收盤價!A:C,3,0)</f>
        <v>15</v>
      </c>
      <c r="K114" s="341">
        <v>5000</v>
      </c>
      <c r="L114" s="341">
        <v>100</v>
      </c>
      <c r="M114" s="354">
        <v>-1.04E-2</v>
      </c>
    </row>
    <row r="115" spans="1:13">
      <c r="A115" s="342" t="s">
        <v>2674</v>
      </c>
      <c r="B115" s="342" t="s">
        <v>2675</v>
      </c>
      <c r="C115" s="342">
        <v>30235</v>
      </c>
      <c r="D115" s="343">
        <v>41813.000002997687</v>
      </c>
      <c r="E115" s="343">
        <v>42909.00000299768</v>
      </c>
      <c r="F115" s="344">
        <v>300000000</v>
      </c>
      <c r="G115" s="344">
        <v>57600000</v>
      </c>
      <c r="H115" s="341">
        <v>146.5</v>
      </c>
      <c r="I115" s="341">
        <v>41.2</v>
      </c>
      <c r="J115" s="341">
        <f>VLOOKUP(3023,收盤價!A:C,3,0)</f>
        <v>61.7</v>
      </c>
      <c r="K115" s="341">
        <v>2427</v>
      </c>
      <c r="L115" s="341">
        <v>147.31889999999999</v>
      </c>
      <c r="M115" s="354">
        <v>5.5999999999999999E-3</v>
      </c>
    </row>
    <row r="116" spans="1:13">
      <c r="A116" s="342" t="s">
        <v>2676</v>
      </c>
      <c r="B116" s="342" t="s">
        <v>2677</v>
      </c>
      <c r="C116" s="342">
        <v>30292</v>
      </c>
      <c r="D116" s="343">
        <v>41778.000002997687</v>
      </c>
      <c r="E116" s="343">
        <v>43604.00000299768</v>
      </c>
      <c r="F116" s="344">
        <v>500000000</v>
      </c>
      <c r="G116" s="344">
        <v>30000000</v>
      </c>
      <c r="H116" s="341">
        <v>107</v>
      </c>
      <c r="I116" s="341">
        <v>18</v>
      </c>
      <c r="J116" s="341">
        <f>VLOOKUP(3029,收盤價!A:C,3,0)</f>
        <v>18</v>
      </c>
      <c r="K116" s="341">
        <v>5556</v>
      </c>
      <c r="L116" s="341">
        <v>100</v>
      </c>
      <c r="M116" s="354">
        <v>-6.54E-2</v>
      </c>
    </row>
    <row r="117" spans="1:13">
      <c r="A117" s="342" t="s">
        <v>2678</v>
      </c>
      <c r="B117" s="342" t="s">
        <v>2679</v>
      </c>
      <c r="C117" s="342">
        <v>30333</v>
      </c>
      <c r="D117" s="343">
        <v>40714.000002997687</v>
      </c>
      <c r="E117" s="343">
        <v>42541.00000299768</v>
      </c>
      <c r="F117" s="344">
        <v>800000000</v>
      </c>
      <c r="G117" s="344">
        <v>0</v>
      </c>
    </row>
    <row r="118" spans="1:13">
      <c r="A118" s="342" t="s">
        <v>2680</v>
      </c>
      <c r="B118" s="342" t="s">
        <v>2681</v>
      </c>
      <c r="C118" s="342">
        <v>30424</v>
      </c>
      <c r="D118" s="343">
        <v>41299.000002997687</v>
      </c>
      <c r="E118" s="343">
        <v>42394.00000299768</v>
      </c>
      <c r="F118" s="344">
        <v>800000000</v>
      </c>
      <c r="G118" s="344">
        <v>800000000</v>
      </c>
      <c r="H118" s="341">
        <v>99.8</v>
      </c>
      <c r="I118" s="341">
        <v>40.9</v>
      </c>
      <c r="J118" s="341">
        <f>VLOOKUP(3042,收盤價!A:C,3,0)</f>
        <v>36</v>
      </c>
      <c r="K118" s="341">
        <v>2445</v>
      </c>
      <c r="L118" s="341">
        <v>100</v>
      </c>
      <c r="M118" s="354">
        <v>2E-3</v>
      </c>
    </row>
    <row r="119" spans="1:13">
      <c r="A119" s="342" t="s">
        <v>2682</v>
      </c>
      <c r="B119" s="342" t="s">
        <v>2683</v>
      </c>
      <c r="C119" s="342">
        <v>30476</v>
      </c>
      <c r="D119" s="343">
        <v>41332.000002997687</v>
      </c>
      <c r="E119" s="343">
        <v>43158.00000299768</v>
      </c>
      <c r="F119" s="344">
        <v>400000000</v>
      </c>
      <c r="G119" s="344">
        <v>317700000</v>
      </c>
      <c r="H119" s="341">
        <v>106</v>
      </c>
      <c r="I119" s="341">
        <v>11.18</v>
      </c>
      <c r="J119" s="341">
        <f>VLOOKUP(3047,收盤價!A:C,3,0)</f>
        <v>10</v>
      </c>
      <c r="K119" s="341">
        <v>8945</v>
      </c>
      <c r="L119" s="341">
        <v>100</v>
      </c>
      <c r="M119" s="354">
        <v>-5.6599999999999998E-2</v>
      </c>
    </row>
    <row r="120" spans="1:13">
      <c r="A120" s="342" t="s">
        <v>2684</v>
      </c>
      <c r="B120" s="342" t="s">
        <v>2685</v>
      </c>
      <c r="C120" s="342">
        <v>30481</v>
      </c>
      <c r="D120" s="343">
        <v>41831.000002997687</v>
      </c>
      <c r="E120" s="343">
        <v>42927.00000299768</v>
      </c>
      <c r="F120" s="344">
        <v>300000000</v>
      </c>
      <c r="G120" s="344">
        <v>111300000</v>
      </c>
      <c r="H120" s="341">
        <v>112</v>
      </c>
      <c r="I120" s="341">
        <v>20.2</v>
      </c>
      <c r="J120" s="341">
        <f>VLOOKUP(3048,收盤價!A:C,3,0)</f>
        <v>19.600000000000001</v>
      </c>
      <c r="K120" s="341">
        <v>4950</v>
      </c>
      <c r="L120" s="341">
        <v>100</v>
      </c>
      <c r="M120" s="354">
        <v>-0.1071</v>
      </c>
    </row>
    <row r="121" spans="1:13">
      <c r="A121" s="342" t="s">
        <v>2686</v>
      </c>
      <c r="B121" s="342" t="s">
        <v>2687</v>
      </c>
      <c r="C121" s="342">
        <v>30543</v>
      </c>
      <c r="D121" s="343">
        <v>41641.000002997687</v>
      </c>
      <c r="E121" s="343">
        <v>42737.00000299768</v>
      </c>
      <c r="F121" s="344">
        <v>350000000</v>
      </c>
      <c r="G121" s="344">
        <v>335900000</v>
      </c>
      <c r="H121" s="341">
        <v>113</v>
      </c>
      <c r="I121" s="341">
        <v>21.2</v>
      </c>
      <c r="J121" s="341">
        <f>VLOOKUP(3054,收盤價!A:C,3,0)</f>
        <v>21.6</v>
      </c>
      <c r="K121" s="341">
        <v>4717</v>
      </c>
      <c r="L121" s="341">
        <v>100</v>
      </c>
      <c r="M121" s="354">
        <v>-0.115</v>
      </c>
    </row>
    <row r="122" spans="1:13">
      <c r="A122" s="342" t="s">
        <v>2688</v>
      </c>
      <c r="B122" s="342" t="s">
        <v>2689</v>
      </c>
      <c r="C122" s="342">
        <v>30562</v>
      </c>
      <c r="D122" s="343">
        <v>41407.000002997687</v>
      </c>
      <c r="E122" s="343">
        <v>42503.00000299768</v>
      </c>
      <c r="F122" s="344">
        <v>700000000</v>
      </c>
      <c r="G122" s="344">
        <v>461900000</v>
      </c>
      <c r="H122" s="341">
        <v>100.45</v>
      </c>
      <c r="I122" s="341">
        <v>18.899999999999999</v>
      </c>
      <c r="J122" s="341">
        <f>VLOOKUP(3056,收盤價!A:C,3,0)</f>
        <v>12.15</v>
      </c>
      <c r="K122" s="341">
        <v>5291</v>
      </c>
      <c r="L122" s="341">
        <v>100</v>
      </c>
      <c r="M122" s="354">
        <v>-4.4999999999999997E-3</v>
      </c>
    </row>
    <row r="123" spans="1:13">
      <c r="A123" s="342" t="s">
        <v>2690</v>
      </c>
      <c r="B123" s="342" t="s">
        <v>2404</v>
      </c>
      <c r="C123" s="342">
        <v>30861</v>
      </c>
      <c r="D123" s="343">
        <v>41996.00000299768</v>
      </c>
      <c r="E123" s="343">
        <v>43092.00000299768</v>
      </c>
      <c r="F123" s="344">
        <v>300000000</v>
      </c>
      <c r="G123" s="344">
        <v>293400000</v>
      </c>
      <c r="H123" s="341">
        <v>113</v>
      </c>
      <c r="I123" s="341">
        <v>11.77</v>
      </c>
      <c r="J123" s="341">
        <f>VLOOKUP(3086,收盤價!A:C,3,0)</f>
        <v>12.55</v>
      </c>
      <c r="K123" s="341">
        <v>8496</v>
      </c>
      <c r="L123" s="341">
        <v>108.7488</v>
      </c>
      <c r="M123" s="354">
        <v>-3.7600000000000001E-2</v>
      </c>
    </row>
    <row r="124" spans="1:13">
      <c r="A124" s="342" t="s">
        <v>2691</v>
      </c>
      <c r="B124" s="342" t="s">
        <v>2150</v>
      </c>
      <c r="C124" s="342">
        <v>31281</v>
      </c>
      <c r="D124" s="343">
        <v>41702.000002997687</v>
      </c>
      <c r="E124" s="343">
        <v>42798.00000299768</v>
      </c>
      <c r="F124" s="344">
        <v>100000000</v>
      </c>
      <c r="G124" s="344">
        <v>100000000</v>
      </c>
      <c r="H124" s="341">
        <v>107.05</v>
      </c>
      <c r="I124" s="341">
        <v>17.100000000000001</v>
      </c>
      <c r="J124" s="341">
        <f>VLOOKUP(3128,收盤價!A:C,3,0)</f>
        <v>17.2</v>
      </c>
      <c r="K124" s="341">
        <v>5848</v>
      </c>
      <c r="L124" s="341">
        <v>103.50959999999999</v>
      </c>
      <c r="M124" s="354">
        <v>-3.3099999999999997E-2</v>
      </c>
    </row>
    <row r="125" spans="1:13">
      <c r="A125" s="342" t="s">
        <v>2692</v>
      </c>
      <c r="B125" s="342" t="s">
        <v>2693</v>
      </c>
      <c r="C125" s="342">
        <v>31491</v>
      </c>
      <c r="D125" s="343">
        <v>41876.000002997687</v>
      </c>
      <c r="E125" s="343">
        <v>43702.00000299768</v>
      </c>
      <c r="F125" s="344">
        <v>480000000</v>
      </c>
      <c r="G125" s="344">
        <v>480000000</v>
      </c>
      <c r="H125" s="341">
        <v>99</v>
      </c>
      <c r="I125" s="341">
        <v>33.799999999999997</v>
      </c>
      <c r="J125" s="341">
        <f>VLOOKUP(3149,收盤價!A:C,3,0)</f>
        <v>12.7</v>
      </c>
      <c r="K125" s="341">
        <v>2959</v>
      </c>
      <c r="L125" s="341">
        <v>100</v>
      </c>
      <c r="M125" s="354">
        <v>1.01E-2</v>
      </c>
    </row>
    <row r="126" spans="1:13">
      <c r="A126" s="342" t="s">
        <v>2692</v>
      </c>
      <c r="B126" s="342" t="s">
        <v>2693</v>
      </c>
      <c r="C126" s="342">
        <v>31492</v>
      </c>
      <c r="D126" s="343">
        <v>41877.000002997687</v>
      </c>
      <c r="E126" s="343">
        <v>42973.00000299768</v>
      </c>
      <c r="F126" s="344">
        <v>500000000</v>
      </c>
      <c r="G126" s="344">
        <v>500000000</v>
      </c>
      <c r="H126" s="341">
        <v>90</v>
      </c>
      <c r="I126" s="341">
        <v>33.299999999999997</v>
      </c>
      <c r="J126" s="341">
        <f>VLOOKUP(3149,收盤價!A:C,3,0)</f>
        <v>12.7</v>
      </c>
      <c r="K126" s="341">
        <v>3003</v>
      </c>
      <c r="L126" s="341">
        <v>100</v>
      </c>
      <c r="M126" s="354">
        <v>0.1111</v>
      </c>
    </row>
    <row r="127" spans="1:13">
      <c r="A127" s="342" t="s">
        <v>2694</v>
      </c>
      <c r="B127" s="342" t="s">
        <v>294</v>
      </c>
      <c r="C127" s="342">
        <v>31631</v>
      </c>
      <c r="D127" s="343">
        <v>41463.000002997687</v>
      </c>
      <c r="E127" s="343">
        <v>43289.00000299768</v>
      </c>
      <c r="F127" s="344">
        <v>200000000</v>
      </c>
      <c r="G127" s="344">
        <v>32300000</v>
      </c>
      <c r="H127" s="341">
        <v>189</v>
      </c>
      <c r="I127" s="341">
        <v>35.79</v>
      </c>
      <c r="J127" s="341">
        <f>VLOOKUP(3163,收盤價!A:C,3,0)</f>
        <v>32.5</v>
      </c>
      <c r="K127" s="341">
        <v>2794</v>
      </c>
      <c r="L127" s="341">
        <v>100</v>
      </c>
      <c r="M127" s="354">
        <v>-0.47089999999999999</v>
      </c>
    </row>
    <row r="128" spans="1:13">
      <c r="A128" s="342" t="s">
        <v>2695</v>
      </c>
      <c r="B128" s="342" t="s">
        <v>2394</v>
      </c>
      <c r="C128" s="342">
        <v>31711</v>
      </c>
      <c r="D128" s="343">
        <v>41943.000002997687</v>
      </c>
      <c r="E128" s="343">
        <v>43039.00000299768</v>
      </c>
      <c r="F128" s="344">
        <v>200000000</v>
      </c>
      <c r="G128" s="344">
        <v>200000000</v>
      </c>
      <c r="H128" s="341">
        <v>110.5</v>
      </c>
      <c r="I128" s="341">
        <v>22.3</v>
      </c>
      <c r="J128" s="341">
        <f>VLOOKUP(3171,收盤價!A:C,3,0)</f>
        <v>20.05</v>
      </c>
      <c r="K128" s="341">
        <v>4484</v>
      </c>
      <c r="L128" s="341">
        <v>100</v>
      </c>
      <c r="M128" s="354">
        <v>-9.5000000000000001E-2</v>
      </c>
    </row>
    <row r="129" spans="1:13">
      <c r="A129" s="342" t="s">
        <v>2696</v>
      </c>
      <c r="B129" s="342" t="s">
        <v>297</v>
      </c>
      <c r="C129" s="342">
        <v>32052</v>
      </c>
      <c r="D129" s="343">
        <v>42173.00000299768</v>
      </c>
      <c r="E129" s="343">
        <v>43269.00000299768</v>
      </c>
      <c r="F129" s="344">
        <v>100000000</v>
      </c>
      <c r="G129" s="344">
        <v>41200000</v>
      </c>
      <c r="H129" s="341">
        <v>365</v>
      </c>
      <c r="I129" s="341">
        <v>89.54</v>
      </c>
      <c r="J129" s="341">
        <f>VLOOKUP(3205,收盤價!A:C,3,0)</f>
        <v>278.5</v>
      </c>
      <c r="K129" s="341">
        <v>1117</v>
      </c>
      <c r="L129" s="341">
        <v>308.29199999999997</v>
      </c>
      <c r="M129" s="354">
        <v>-0.15540000000000001</v>
      </c>
    </row>
    <row r="130" spans="1:13">
      <c r="A130" s="342" t="s">
        <v>2696</v>
      </c>
      <c r="B130" s="342" t="s">
        <v>297</v>
      </c>
      <c r="C130" s="342">
        <v>32051</v>
      </c>
      <c r="D130" s="343">
        <v>41639.000002997687</v>
      </c>
      <c r="E130" s="343">
        <v>42735.00000299768</v>
      </c>
      <c r="F130" s="344">
        <v>100000000</v>
      </c>
      <c r="G130" s="344">
        <v>38700000</v>
      </c>
      <c r="H130" s="341">
        <v>1100</v>
      </c>
      <c r="I130" s="341">
        <v>28.45</v>
      </c>
      <c r="J130" s="341">
        <f>VLOOKUP(3205,收盤價!A:C,3,0)</f>
        <v>278.5</v>
      </c>
      <c r="K130" s="341">
        <v>3515</v>
      </c>
      <c r="L130" s="341">
        <v>970.14</v>
      </c>
      <c r="M130" s="354">
        <v>-0.1181</v>
      </c>
    </row>
    <row r="131" spans="1:13">
      <c r="A131" s="342" t="s">
        <v>2697</v>
      </c>
      <c r="B131" s="342" t="s">
        <v>1491</v>
      </c>
      <c r="C131" s="342">
        <v>32242</v>
      </c>
      <c r="D131" s="343">
        <v>41844.000002997687</v>
      </c>
      <c r="E131" s="343">
        <v>42940.00000299768</v>
      </c>
      <c r="F131" s="344">
        <v>150000000</v>
      </c>
      <c r="G131" s="344">
        <v>150000000</v>
      </c>
      <c r="H131" s="341">
        <v>119</v>
      </c>
      <c r="I131" s="341">
        <v>37.35</v>
      </c>
      <c r="J131" s="341">
        <f>VLOOKUP(3224,收盤價!A:C,3,0)</f>
        <v>33.35</v>
      </c>
      <c r="K131" s="341">
        <v>2677</v>
      </c>
      <c r="L131" s="341">
        <v>100</v>
      </c>
      <c r="M131" s="354">
        <v>-0.15970000000000001</v>
      </c>
    </row>
    <row r="132" spans="1:13">
      <c r="A132" s="342" t="s">
        <v>2698</v>
      </c>
      <c r="B132" s="342" t="s">
        <v>304</v>
      </c>
      <c r="C132" s="342">
        <v>32341</v>
      </c>
      <c r="D132" s="343">
        <v>42320.00000299768</v>
      </c>
      <c r="E132" s="343">
        <v>43416.00000299768</v>
      </c>
      <c r="F132" s="344">
        <v>500000000</v>
      </c>
      <c r="G132" s="344">
        <v>500000000</v>
      </c>
      <c r="H132" s="341">
        <v>110</v>
      </c>
      <c r="I132" s="341">
        <v>109.3</v>
      </c>
      <c r="J132" s="341">
        <f>VLOOKUP(3234,收盤價!A:C,3,0)</f>
        <v>89</v>
      </c>
      <c r="K132" s="341">
        <v>915</v>
      </c>
      <c r="L132" s="341">
        <v>100</v>
      </c>
      <c r="M132" s="354">
        <v>-9.0899999999999995E-2</v>
      </c>
    </row>
    <row r="133" spans="1:13">
      <c r="A133" s="342" t="s">
        <v>2698</v>
      </c>
      <c r="B133" s="342" t="s">
        <v>304</v>
      </c>
      <c r="C133" s="342">
        <v>32342</v>
      </c>
      <c r="D133" s="343">
        <v>42321.00000299768</v>
      </c>
      <c r="E133" s="343">
        <v>43417.00000299768</v>
      </c>
      <c r="F133" s="344">
        <v>500000000</v>
      </c>
      <c r="G133" s="344">
        <v>500000000</v>
      </c>
      <c r="H133" s="341">
        <v>106.45</v>
      </c>
      <c r="I133" s="341">
        <v>109.5</v>
      </c>
      <c r="J133" s="341">
        <f>VLOOKUP(3234,收盤價!A:C,3,0)</f>
        <v>89</v>
      </c>
      <c r="K133" s="341">
        <v>913</v>
      </c>
      <c r="L133" s="341">
        <v>100</v>
      </c>
      <c r="M133" s="354">
        <v>-6.0600000000000001E-2</v>
      </c>
    </row>
    <row r="134" spans="1:13">
      <c r="A134" s="342" t="s">
        <v>2699</v>
      </c>
      <c r="B134" s="342" t="s">
        <v>306</v>
      </c>
      <c r="C134" s="342">
        <v>32522</v>
      </c>
      <c r="D134" s="343">
        <v>41582.000002997687</v>
      </c>
      <c r="E134" s="343">
        <v>42678.00000299768</v>
      </c>
      <c r="F134" s="344">
        <v>200000000</v>
      </c>
      <c r="G134" s="344">
        <v>157800000</v>
      </c>
      <c r="H134" s="341">
        <v>205</v>
      </c>
      <c r="I134" s="341">
        <v>24.7</v>
      </c>
      <c r="J134" s="341">
        <f>VLOOKUP(3252,收盤價!A:C,3,0)</f>
        <v>0</v>
      </c>
      <c r="K134" s="341">
        <v>4049</v>
      </c>
      <c r="L134" s="341">
        <v>100</v>
      </c>
      <c r="M134" s="354">
        <v>-0.51219999999999999</v>
      </c>
    </row>
    <row r="135" spans="1:13">
      <c r="A135" s="342" t="s">
        <v>2699</v>
      </c>
      <c r="B135" s="342" t="s">
        <v>306</v>
      </c>
      <c r="C135" s="342">
        <v>32523</v>
      </c>
      <c r="D135" s="343">
        <v>41788.000002997687</v>
      </c>
      <c r="E135" s="343">
        <v>42884.00000299768</v>
      </c>
      <c r="F135" s="344">
        <v>200000000</v>
      </c>
      <c r="G135" s="344">
        <v>200000000</v>
      </c>
      <c r="H135" s="341">
        <v>130</v>
      </c>
      <c r="I135" s="341">
        <v>44.8</v>
      </c>
      <c r="J135" s="341">
        <f>VLOOKUP(3252,收盤價!A:C,3,0)</f>
        <v>0</v>
      </c>
      <c r="K135" s="341">
        <v>2232</v>
      </c>
      <c r="L135" s="341">
        <v>100</v>
      </c>
      <c r="M135" s="354">
        <v>-0.23080000000000001</v>
      </c>
    </row>
    <row r="136" spans="1:13">
      <c r="A136" s="342" t="s">
        <v>2700</v>
      </c>
      <c r="B136" s="342" t="s">
        <v>309</v>
      </c>
      <c r="C136" s="342">
        <v>32721</v>
      </c>
      <c r="D136" s="343">
        <v>42068.00000299768</v>
      </c>
      <c r="E136" s="343">
        <v>43164.00000299768</v>
      </c>
      <c r="F136" s="344">
        <v>400000000</v>
      </c>
      <c r="G136" s="344">
        <v>262200000</v>
      </c>
      <c r="H136" s="341">
        <v>103</v>
      </c>
      <c r="I136" s="341">
        <v>92.3</v>
      </c>
      <c r="J136" s="341">
        <f>VLOOKUP(3272,收盤價!A:C,3,0)</f>
        <v>61</v>
      </c>
      <c r="K136" s="341">
        <v>1083</v>
      </c>
      <c r="L136" s="341">
        <v>100</v>
      </c>
      <c r="M136" s="354">
        <v>-2.9100000000000001E-2</v>
      </c>
    </row>
    <row r="137" spans="1:13">
      <c r="A137" s="342" t="s">
        <v>2701</v>
      </c>
      <c r="B137" s="342" t="s">
        <v>2181</v>
      </c>
      <c r="C137" s="342">
        <v>32881</v>
      </c>
      <c r="D137" s="343">
        <v>41848.000002997687</v>
      </c>
      <c r="E137" s="343">
        <v>42944.00000299768</v>
      </c>
      <c r="F137" s="344">
        <v>200000000</v>
      </c>
      <c r="G137" s="344">
        <v>200000000</v>
      </c>
      <c r="H137" s="341">
        <v>98</v>
      </c>
      <c r="I137" s="341">
        <v>19.3</v>
      </c>
      <c r="J137" s="341">
        <f>VLOOKUP(3288,收盤價!A:C,3,0)</f>
        <v>6.71</v>
      </c>
      <c r="K137" s="341">
        <v>5181</v>
      </c>
      <c r="L137" s="341">
        <v>100</v>
      </c>
      <c r="M137" s="354">
        <v>2.0400000000000001E-2</v>
      </c>
    </row>
    <row r="138" spans="1:13">
      <c r="A138" s="342" t="s">
        <v>2702</v>
      </c>
      <c r="B138" s="342" t="s">
        <v>2375</v>
      </c>
      <c r="C138" s="342">
        <v>32893</v>
      </c>
      <c r="D138" s="343">
        <v>42360.00000299768</v>
      </c>
      <c r="E138" s="343">
        <v>43456.00000299768</v>
      </c>
      <c r="F138" s="344">
        <v>300000000</v>
      </c>
      <c r="G138" s="344">
        <v>300000000</v>
      </c>
      <c r="H138" s="341">
        <v>115</v>
      </c>
      <c r="I138" s="341">
        <v>95</v>
      </c>
      <c r="J138" s="341">
        <f>VLOOKUP(3289,收盤價!A:C,3,0)</f>
        <v>96.5</v>
      </c>
      <c r="K138" s="341">
        <v>1053</v>
      </c>
      <c r="L138" s="341">
        <v>104.5629</v>
      </c>
      <c r="M138" s="354">
        <v>-9.0800000000000006E-2</v>
      </c>
    </row>
    <row r="139" spans="1:13">
      <c r="A139" s="342" t="s">
        <v>2703</v>
      </c>
      <c r="B139" s="342" t="s">
        <v>2165</v>
      </c>
      <c r="C139" s="342">
        <v>32902</v>
      </c>
      <c r="D139" s="343">
        <v>41619.000002997687</v>
      </c>
      <c r="E139" s="343">
        <v>42715.00000299768</v>
      </c>
      <c r="F139" s="344">
        <v>250000000</v>
      </c>
      <c r="G139" s="344">
        <v>200700000</v>
      </c>
      <c r="H139" s="341">
        <v>101.5</v>
      </c>
      <c r="I139" s="341">
        <v>27.3</v>
      </c>
      <c r="J139" s="341">
        <f>VLOOKUP(3290,收盤價!A:C,3,0)</f>
        <v>13.7</v>
      </c>
      <c r="K139" s="341">
        <v>3663</v>
      </c>
      <c r="L139" s="341">
        <v>100</v>
      </c>
      <c r="M139" s="354">
        <v>-1.4800000000000001E-2</v>
      </c>
    </row>
    <row r="140" spans="1:13">
      <c r="A140" s="342" t="s">
        <v>2704</v>
      </c>
      <c r="B140" s="342" t="s">
        <v>315</v>
      </c>
      <c r="C140" s="342">
        <v>32994</v>
      </c>
      <c r="D140" s="343">
        <v>42265.00000299768</v>
      </c>
      <c r="E140" s="343">
        <v>43361.00000299768</v>
      </c>
      <c r="F140" s="344">
        <v>300000000</v>
      </c>
      <c r="G140" s="344">
        <v>230400000</v>
      </c>
      <c r="H140" s="341">
        <v>110</v>
      </c>
      <c r="I140" s="341">
        <v>45.7</v>
      </c>
      <c r="J140" s="341">
        <f>VLOOKUP(3299,收盤價!A:C,3,0)</f>
        <v>49.25</v>
      </c>
      <c r="K140" s="341">
        <v>2188</v>
      </c>
      <c r="L140" s="341">
        <v>106.11799999999999</v>
      </c>
      <c r="M140" s="354">
        <v>-3.5299999999999998E-2</v>
      </c>
    </row>
    <row r="141" spans="1:13">
      <c r="A141" s="342" t="s">
        <v>2705</v>
      </c>
      <c r="B141" s="342" t="s">
        <v>317</v>
      </c>
      <c r="C141" s="342">
        <v>33132</v>
      </c>
      <c r="D141" s="343">
        <v>41521.000002997687</v>
      </c>
      <c r="E141" s="343">
        <v>42617.00000299768</v>
      </c>
      <c r="F141" s="344">
        <v>200000000</v>
      </c>
      <c r="G141" s="344">
        <v>0</v>
      </c>
    </row>
    <row r="142" spans="1:13">
      <c r="A142" s="342" t="s">
        <v>2706</v>
      </c>
      <c r="B142" s="342" t="s">
        <v>318</v>
      </c>
      <c r="C142" s="342">
        <v>33232</v>
      </c>
      <c r="D142" s="343">
        <v>40746.000002997687</v>
      </c>
      <c r="E142" s="343">
        <v>42573.00000299768</v>
      </c>
      <c r="F142" s="344">
        <v>500000000</v>
      </c>
      <c r="G142" s="344">
        <v>38500000</v>
      </c>
      <c r="H142" s="341">
        <v>97.55</v>
      </c>
      <c r="I142" s="341">
        <v>23.4</v>
      </c>
      <c r="J142" s="341">
        <f>VLOOKUP(3323,收盤價!A:C,3,0)</f>
        <v>17.850000000000001</v>
      </c>
      <c r="K142" s="341">
        <v>4274</v>
      </c>
      <c r="L142" s="341">
        <v>100</v>
      </c>
      <c r="M142" s="354">
        <v>2.5100000000000001E-2</v>
      </c>
    </row>
    <row r="143" spans="1:13">
      <c r="A143" s="342" t="s">
        <v>2707</v>
      </c>
      <c r="B143" s="342" t="s">
        <v>2302</v>
      </c>
      <c r="C143" s="342">
        <v>33252</v>
      </c>
      <c r="D143" s="343">
        <v>41869.000002997687</v>
      </c>
      <c r="E143" s="343">
        <v>42965.00000299768</v>
      </c>
      <c r="F143" s="344">
        <v>100000000</v>
      </c>
      <c r="G143" s="344">
        <v>99000000</v>
      </c>
      <c r="H143" s="341">
        <v>105</v>
      </c>
      <c r="I143" s="341">
        <v>27.08</v>
      </c>
      <c r="J143" s="341">
        <f>VLOOKUP(3325,收盤價!A:C,3,0)</f>
        <v>18.05</v>
      </c>
      <c r="K143" s="341">
        <v>3693</v>
      </c>
      <c r="L143" s="341">
        <v>100</v>
      </c>
      <c r="M143" s="354">
        <v>-4.7600000000000003E-2</v>
      </c>
    </row>
    <row r="144" spans="1:13">
      <c r="A144" s="342" t="s">
        <v>2708</v>
      </c>
      <c r="B144" s="342" t="s">
        <v>2709</v>
      </c>
      <c r="C144" s="342">
        <v>33381</v>
      </c>
      <c r="D144" s="343">
        <v>42033.00000299768</v>
      </c>
      <c r="E144" s="343">
        <v>43129.00000299768</v>
      </c>
      <c r="F144" s="344">
        <v>300000000</v>
      </c>
      <c r="G144" s="344">
        <v>298500000</v>
      </c>
      <c r="H144" s="341">
        <v>112</v>
      </c>
      <c r="I144" s="341">
        <v>34.299999999999997</v>
      </c>
      <c r="J144" s="341">
        <f>VLOOKUP(3338,收盤價!A:C,3,0)</f>
        <v>23.95</v>
      </c>
      <c r="K144" s="341">
        <v>2915</v>
      </c>
      <c r="L144" s="341">
        <v>100</v>
      </c>
      <c r="M144" s="354">
        <v>-0.1071</v>
      </c>
    </row>
    <row r="145" spans="1:13">
      <c r="A145" s="342" t="s">
        <v>2710</v>
      </c>
      <c r="B145" s="342" t="s">
        <v>2151</v>
      </c>
      <c r="C145" s="342">
        <v>33393</v>
      </c>
      <c r="D145" s="343">
        <v>41768.000002997687</v>
      </c>
      <c r="E145" s="343">
        <v>42864.00000299768</v>
      </c>
      <c r="F145" s="344">
        <v>200000000</v>
      </c>
      <c r="G145" s="344">
        <v>183000000</v>
      </c>
      <c r="H145" s="341">
        <v>98.15</v>
      </c>
      <c r="I145" s="341">
        <v>16</v>
      </c>
      <c r="J145" s="341">
        <f>VLOOKUP(3339,收盤價!A:C,3,0)</f>
        <v>3.97</v>
      </c>
      <c r="K145" s="341">
        <v>6250</v>
      </c>
      <c r="L145" s="341">
        <v>100</v>
      </c>
      <c r="M145" s="354">
        <v>1.8800000000000001E-2</v>
      </c>
    </row>
    <row r="146" spans="1:13">
      <c r="A146" s="342" t="s">
        <v>2710</v>
      </c>
      <c r="B146" s="342" t="s">
        <v>2151</v>
      </c>
      <c r="C146" s="342">
        <v>33392</v>
      </c>
      <c r="D146" s="343">
        <v>41768.000002997687</v>
      </c>
      <c r="E146" s="343">
        <v>42864.00000299768</v>
      </c>
      <c r="F146" s="344">
        <v>800000000</v>
      </c>
      <c r="G146" s="344">
        <v>800000000</v>
      </c>
      <c r="H146" s="341">
        <v>96.95</v>
      </c>
      <c r="I146" s="341">
        <v>16</v>
      </c>
      <c r="J146" s="341">
        <f>VLOOKUP(3339,收盤價!A:C,3,0)</f>
        <v>3.97</v>
      </c>
      <c r="K146" s="341">
        <v>6250</v>
      </c>
      <c r="L146" s="341">
        <v>100</v>
      </c>
      <c r="M146" s="354">
        <v>3.15E-2</v>
      </c>
    </row>
    <row r="147" spans="1:13">
      <c r="A147" s="342" t="s">
        <v>2711</v>
      </c>
      <c r="B147" s="342" t="s">
        <v>2712</v>
      </c>
      <c r="C147" s="342">
        <v>33835</v>
      </c>
      <c r="D147" s="343">
        <v>41871.000002997687</v>
      </c>
      <c r="E147" s="343">
        <v>42967.00000299768</v>
      </c>
      <c r="F147" s="344">
        <v>600000000</v>
      </c>
      <c r="G147" s="344">
        <v>600000000</v>
      </c>
      <c r="H147" s="341">
        <v>98</v>
      </c>
      <c r="I147" s="341">
        <v>21.1</v>
      </c>
      <c r="J147" s="341">
        <f>VLOOKUP(3383,收盤價!A:C,3,0)</f>
        <v>8.02</v>
      </c>
      <c r="K147" s="341">
        <v>4739</v>
      </c>
      <c r="L147" s="341">
        <v>100</v>
      </c>
      <c r="M147" s="354">
        <v>2.0400000000000001E-2</v>
      </c>
    </row>
    <row r="148" spans="1:13">
      <c r="A148" s="342" t="s">
        <v>2713</v>
      </c>
      <c r="B148" s="342" t="s">
        <v>2123</v>
      </c>
      <c r="C148" s="342">
        <v>34382</v>
      </c>
      <c r="D148" s="343">
        <v>41605.000002997687</v>
      </c>
      <c r="E148" s="343">
        <v>42701.00000299768</v>
      </c>
      <c r="F148" s="344">
        <v>300000000</v>
      </c>
      <c r="G148" s="344">
        <v>291800000</v>
      </c>
      <c r="H148" s="341">
        <v>106.8</v>
      </c>
      <c r="I148" s="341">
        <v>24</v>
      </c>
      <c r="J148" s="341">
        <f>VLOOKUP(3438,收盤價!A:C,3,0)</f>
        <v>17.149999999999999</v>
      </c>
      <c r="K148" s="341">
        <v>4167</v>
      </c>
      <c r="L148" s="341">
        <v>100</v>
      </c>
      <c r="M148" s="354">
        <v>-6.3700000000000007E-2</v>
      </c>
    </row>
    <row r="149" spans="1:13">
      <c r="A149" s="342" t="s">
        <v>2714</v>
      </c>
      <c r="B149" s="342" t="s">
        <v>2182</v>
      </c>
      <c r="C149" s="342">
        <v>34652</v>
      </c>
      <c r="D149" s="343">
        <v>41697.000002997687</v>
      </c>
      <c r="E149" s="343">
        <v>42793.00000299768</v>
      </c>
      <c r="F149" s="344">
        <v>50000000</v>
      </c>
      <c r="G149" s="344">
        <v>16000000</v>
      </c>
      <c r="H149" s="341">
        <v>104</v>
      </c>
      <c r="I149" s="341">
        <v>13.86</v>
      </c>
      <c r="J149" s="341">
        <f>VLOOKUP(3465,收盤價!A:C,3,0)</f>
        <v>11</v>
      </c>
      <c r="K149" s="341">
        <v>7215</v>
      </c>
      <c r="L149" s="341">
        <v>100</v>
      </c>
      <c r="M149" s="354">
        <v>-3.85E-2</v>
      </c>
    </row>
    <row r="150" spans="1:13">
      <c r="A150" s="342" t="s">
        <v>2715</v>
      </c>
      <c r="B150" s="342" t="s">
        <v>331</v>
      </c>
      <c r="C150" s="342">
        <v>34841</v>
      </c>
      <c r="D150" s="343">
        <v>41935.000002997687</v>
      </c>
      <c r="E150" s="343">
        <v>43031.00000299768</v>
      </c>
      <c r="F150" s="344">
        <v>200000000</v>
      </c>
      <c r="G150" s="344">
        <v>117700000</v>
      </c>
      <c r="H150" s="341">
        <v>106.05</v>
      </c>
      <c r="I150" s="341">
        <v>34</v>
      </c>
      <c r="J150" s="341">
        <f>VLOOKUP(3484,收盤價!A:C,3,0)</f>
        <v>31.1</v>
      </c>
      <c r="K150" s="341">
        <v>2941</v>
      </c>
      <c r="L150" s="341">
        <v>100</v>
      </c>
      <c r="M150" s="354">
        <v>-5.7000000000000002E-2</v>
      </c>
    </row>
    <row r="151" spans="1:13">
      <c r="A151" s="342" t="s">
        <v>2716</v>
      </c>
      <c r="B151" s="342" t="s">
        <v>332</v>
      </c>
      <c r="C151" s="342" t="s">
        <v>2717</v>
      </c>
      <c r="D151" s="343">
        <v>41656.000002997687</v>
      </c>
      <c r="E151" s="343">
        <v>43482.00000299768</v>
      </c>
      <c r="F151" s="344">
        <v>300000000</v>
      </c>
      <c r="G151" s="344">
        <v>300000000</v>
      </c>
      <c r="H151" s="341">
        <v>106.05</v>
      </c>
      <c r="I151" s="341">
        <v>34</v>
      </c>
      <c r="J151" s="341">
        <f>VLOOKUP(3489,收盤價!A:C,3,0)</f>
        <v>9.84</v>
      </c>
      <c r="K151" s="341">
        <v>2941</v>
      </c>
      <c r="L151" s="341">
        <v>100</v>
      </c>
      <c r="M151" s="354">
        <v>-5.7000000000000002E-2</v>
      </c>
    </row>
    <row r="152" spans="1:13">
      <c r="A152" s="342" t="s">
        <v>2718</v>
      </c>
      <c r="B152" s="342" t="s">
        <v>2719</v>
      </c>
      <c r="C152" s="342">
        <v>34941</v>
      </c>
      <c r="D152" s="343">
        <v>40715.000002997687</v>
      </c>
      <c r="E152" s="343">
        <v>42541.00000299768</v>
      </c>
      <c r="F152" s="344">
        <v>500000000</v>
      </c>
      <c r="G152" s="344">
        <v>13400000</v>
      </c>
      <c r="H152" s="341">
        <v>97</v>
      </c>
      <c r="I152" s="341">
        <v>22.4</v>
      </c>
      <c r="J152" s="341">
        <f>VLOOKUP(3494,收盤價!A:C,3,0)</f>
        <v>12.35</v>
      </c>
      <c r="K152" s="341">
        <v>4464</v>
      </c>
      <c r="L152" s="341">
        <v>100</v>
      </c>
      <c r="M152" s="354">
        <v>3.09E-2</v>
      </c>
    </row>
    <row r="153" spans="1:13">
      <c r="A153" s="342" t="s">
        <v>2720</v>
      </c>
      <c r="B153" s="342" t="s">
        <v>2721</v>
      </c>
      <c r="C153" s="342">
        <v>35142</v>
      </c>
      <c r="D153" s="343">
        <v>41535.000002997687</v>
      </c>
      <c r="E153" s="343">
        <v>43361.00000299768</v>
      </c>
      <c r="F153" s="344">
        <v>500000000</v>
      </c>
      <c r="G153" s="344">
        <v>2600000</v>
      </c>
      <c r="H153" s="341">
        <v>123</v>
      </c>
      <c r="I153" s="341">
        <v>25.91</v>
      </c>
      <c r="J153" s="341">
        <f>VLOOKUP(3514,收盤價!A:C,3,0)</f>
        <v>31.15</v>
      </c>
      <c r="K153" s="341">
        <v>3860</v>
      </c>
      <c r="L153" s="341">
        <v>119.274</v>
      </c>
      <c r="M153" s="354">
        <v>-3.0300000000000001E-2</v>
      </c>
    </row>
    <row r="154" spans="1:13">
      <c r="A154" s="342" t="s">
        <v>2720</v>
      </c>
      <c r="B154" s="342" t="s">
        <v>2721</v>
      </c>
      <c r="C154" s="342">
        <v>35141</v>
      </c>
      <c r="D154" s="343">
        <v>41177.000002997687</v>
      </c>
      <c r="E154" s="343">
        <v>43003.00000299768</v>
      </c>
      <c r="F154" s="344">
        <v>620000000</v>
      </c>
      <c r="G154" s="344">
        <v>400000</v>
      </c>
      <c r="H154" s="341">
        <v>101</v>
      </c>
      <c r="I154" s="341">
        <v>29.06</v>
      </c>
      <c r="J154" s="341">
        <f>VLOOKUP(3514,收盤價!A:C,3,0)</f>
        <v>31.15</v>
      </c>
      <c r="K154" s="341">
        <v>3441</v>
      </c>
      <c r="L154" s="341">
        <v>106.32689999999999</v>
      </c>
      <c r="M154" s="354">
        <v>5.2699999999999997E-2</v>
      </c>
    </row>
    <row r="155" spans="1:13">
      <c r="A155" s="342" t="s">
        <v>2722</v>
      </c>
      <c r="B155" s="342" t="s">
        <v>2184</v>
      </c>
      <c r="C155" s="342" t="s">
        <v>2723</v>
      </c>
      <c r="D155" s="343">
        <v>41590.000002997687</v>
      </c>
      <c r="E155" s="343">
        <v>42686.00000299768</v>
      </c>
      <c r="F155" s="344">
        <v>240000000</v>
      </c>
      <c r="G155" s="344">
        <v>210000000</v>
      </c>
      <c r="H155" s="341">
        <v>101</v>
      </c>
      <c r="I155" s="341">
        <v>29.06</v>
      </c>
      <c r="J155" s="341">
        <f>VLOOKUP(3520,收盤價!A:C,3,0)</f>
        <v>105</v>
      </c>
      <c r="K155" s="341">
        <v>3441</v>
      </c>
      <c r="L155" s="341">
        <v>412.92</v>
      </c>
      <c r="M155" s="354">
        <v>3.0882999999999998</v>
      </c>
    </row>
    <row r="156" spans="1:13">
      <c r="A156" s="342" t="s">
        <v>2724</v>
      </c>
      <c r="B156" s="342" t="s">
        <v>2185</v>
      </c>
      <c r="C156" s="342">
        <v>35262</v>
      </c>
      <c r="D156" s="343">
        <v>41578.000002997687</v>
      </c>
      <c r="E156" s="343">
        <v>42674.00000299768</v>
      </c>
      <c r="F156" s="344">
        <v>200000000</v>
      </c>
      <c r="G156" s="344">
        <v>32300000</v>
      </c>
      <c r="H156" s="341">
        <v>102.15</v>
      </c>
      <c r="I156" s="341">
        <v>23.12</v>
      </c>
      <c r="J156" s="341">
        <f>VLOOKUP(3526,收盤價!A:C,3,0)</f>
        <v>21.4</v>
      </c>
      <c r="K156" s="341">
        <v>4325</v>
      </c>
      <c r="L156" s="341">
        <v>100</v>
      </c>
      <c r="M156" s="354">
        <v>-2.1000000000000001E-2</v>
      </c>
    </row>
    <row r="157" spans="1:13">
      <c r="A157" s="342" t="s">
        <v>2725</v>
      </c>
      <c r="B157" s="342" t="s">
        <v>2726</v>
      </c>
      <c r="C157" s="342">
        <v>35352</v>
      </c>
      <c r="D157" s="343">
        <v>41891.000002997687</v>
      </c>
      <c r="E157" s="343">
        <v>42987.00000299768</v>
      </c>
      <c r="F157" s="344">
        <v>200000000</v>
      </c>
      <c r="G157" s="344">
        <v>200000000</v>
      </c>
      <c r="H157" s="341">
        <v>102</v>
      </c>
      <c r="I157" s="341">
        <v>16.5</v>
      </c>
      <c r="J157" s="341">
        <f>VLOOKUP(3535,收盤價!A:C,3,0)</f>
        <v>9.0500000000000007</v>
      </c>
      <c r="K157" s="341">
        <v>6061</v>
      </c>
      <c r="L157" s="341">
        <v>100</v>
      </c>
      <c r="M157" s="354">
        <v>-1.9599999999999999E-2</v>
      </c>
    </row>
    <row r="158" spans="1:13">
      <c r="A158" s="342" t="s">
        <v>2727</v>
      </c>
      <c r="B158" s="342" t="s">
        <v>2728</v>
      </c>
      <c r="C158" s="342">
        <v>35451</v>
      </c>
      <c r="D158" s="343">
        <v>41442.000002997687</v>
      </c>
      <c r="E158" s="343">
        <v>43268.00000299768</v>
      </c>
      <c r="F158" s="344">
        <v>1000000000</v>
      </c>
      <c r="G158" s="344">
        <v>996200000</v>
      </c>
      <c r="H158" s="341">
        <v>103.4</v>
      </c>
      <c r="I158" s="341">
        <v>49.46</v>
      </c>
      <c r="J158" s="341">
        <f>VLOOKUP(3545,收盤價!A:C,3,0)</f>
        <v>34.700000000000003</v>
      </c>
      <c r="K158" s="341">
        <v>2022</v>
      </c>
      <c r="L158" s="341">
        <v>100</v>
      </c>
      <c r="M158" s="354">
        <v>-3.2899999999999999E-2</v>
      </c>
    </row>
    <row r="159" spans="1:13">
      <c r="A159" s="342" t="s">
        <v>2729</v>
      </c>
      <c r="B159" s="342" t="s">
        <v>2730</v>
      </c>
      <c r="C159" s="342">
        <v>35523</v>
      </c>
      <c r="D159" s="343">
        <v>41303.000002997687</v>
      </c>
      <c r="E159" s="343">
        <v>43129.00000299768</v>
      </c>
      <c r="F159" s="344">
        <v>300000000</v>
      </c>
      <c r="G159" s="344">
        <v>1100000</v>
      </c>
      <c r="H159" s="341">
        <v>463</v>
      </c>
      <c r="I159" s="341">
        <v>62.78</v>
      </c>
      <c r="J159" s="341">
        <f>VLOOKUP(3552,收盤價!A:C,3,0)</f>
        <v>303</v>
      </c>
      <c r="K159" s="341">
        <v>1593</v>
      </c>
      <c r="L159" s="341">
        <v>470.73149999999998</v>
      </c>
      <c r="M159" s="354">
        <v>1.67E-2</v>
      </c>
    </row>
    <row r="160" spans="1:13">
      <c r="A160" s="342" t="s">
        <v>2731</v>
      </c>
      <c r="B160" s="342" t="s">
        <v>2124</v>
      </c>
      <c r="C160" s="342" t="s">
        <v>2732</v>
      </c>
      <c r="D160" s="343">
        <v>41561.000002997687</v>
      </c>
      <c r="E160" s="343">
        <v>42657.00000299768</v>
      </c>
      <c r="F160" s="344">
        <v>80000000</v>
      </c>
      <c r="G160" s="344">
        <v>10000000</v>
      </c>
      <c r="H160" s="341">
        <v>463</v>
      </c>
      <c r="I160" s="341">
        <v>62.78</v>
      </c>
      <c r="J160" s="341">
        <f>VLOOKUP(3555,收盤價!A:C,3,0)</f>
        <v>11.65</v>
      </c>
      <c r="K160" s="341">
        <v>1593</v>
      </c>
      <c r="L160" s="341">
        <v>100</v>
      </c>
      <c r="M160" s="354">
        <v>-0.78400000000000003</v>
      </c>
    </row>
    <row r="161" spans="1:13">
      <c r="A161" s="342" t="s">
        <v>2733</v>
      </c>
      <c r="B161" s="342" t="s">
        <v>344</v>
      </c>
      <c r="C161" s="342" t="s">
        <v>2515</v>
      </c>
      <c r="D161" s="343">
        <v>41271.000002997687</v>
      </c>
      <c r="E161" s="343">
        <v>42731.00000299768</v>
      </c>
      <c r="F161" s="344">
        <v>90000000</v>
      </c>
      <c r="G161" s="344">
        <v>90000000</v>
      </c>
      <c r="H161" s="341">
        <v>463</v>
      </c>
      <c r="I161" s="341">
        <v>62.78</v>
      </c>
      <c r="J161" s="341">
        <f>VLOOKUP(3556,收盤價!A:C,3,0)</f>
        <v>52.7</v>
      </c>
      <c r="K161" s="341">
        <v>1593</v>
      </c>
      <c r="L161" s="341">
        <v>100</v>
      </c>
      <c r="M161" s="354">
        <v>-0.78400000000000003</v>
      </c>
    </row>
    <row r="162" spans="1:13">
      <c r="A162" s="342" t="s">
        <v>2734</v>
      </c>
      <c r="B162" s="342" t="s">
        <v>2735</v>
      </c>
      <c r="C162" s="342">
        <v>35571</v>
      </c>
      <c r="D162" s="343">
        <v>41696.000002997687</v>
      </c>
      <c r="E162" s="343">
        <v>42792.00000299768</v>
      </c>
      <c r="F162" s="344">
        <v>150000000</v>
      </c>
      <c r="G162" s="344">
        <v>150000000</v>
      </c>
      <c r="H162" s="341">
        <v>107.75</v>
      </c>
      <c r="I162" s="341">
        <v>8.1999999999999993</v>
      </c>
      <c r="J162" s="341">
        <f>VLOOKUP(3557,收盤價!A:C,3,0)</f>
        <v>3.91</v>
      </c>
      <c r="K162" s="341">
        <v>12195</v>
      </c>
      <c r="L162" s="341">
        <v>100</v>
      </c>
      <c r="M162" s="354">
        <v>-7.1900000000000006E-2</v>
      </c>
    </row>
    <row r="163" spans="1:13">
      <c r="A163" s="342" t="s">
        <v>2736</v>
      </c>
      <c r="B163" s="342" t="s">
        <v>1537</v>
      </c>
      <c r="C163" s="342">
        <v>35641</v>
      </c>
      <c r="D163" s="343">
        <v>42307.00000299768</v>
      </c>
      <c r="E163" s="343">
        <v>43403.00000299768</v>
      </c>
      <c r="F163" s="344">
        <v>200000000</v>
      </c>
      <c r="G163" s="344">
        <v>200000000</v>
      </c>
      <c r="H163" s="341">
        <v>106.5</v>
      </c>
      <c r="I163" s="341">
        <v>69.400000000000006</v>
      </c>
      <c r="J163" s="341">
        <f>VLOOKUP(3564,收盤價!A:C,3,0)</f>
        <v>60.7</v>
      </c>
      <c r="K163" s="341">
        <v>1441</v>
      </c>
      <c r="L163" s="341">
        <v>100</v>
      </c>
      <c r="M163" s="354">
        <v>-6.0999999999999999E-2</v>
      </c>
    </row>
    <row r="164" spans="1:13">
      <c r="A164" s="342" t="s">
        <v>2737</v>
      </c>
      <c r="B164" s="342" t="s">
        <v>2738</v>
      </c>
      <c r="C164" s="342">
        <v>35762</v>
      </c>
      <c r="D164" s="343">
        <v>41548.000002997687</v>
      </c>
      <c r="E164" s="343">
        <v>42644.00000299768</v>
      </c>
      <c r="F164" s="344">
        <v>501500000</v>
      </c>
      <c r="G164" s="344">
        <v>54800000</v>
      </c>
      <c r="H164" s="341">
        <v>109</v>
      </c>
      <c r="I164" s="341">
        <v>28.16</v>
      </c>
      <c r="J164" s="341">
        <f>VLOOKUP(3576,收盤價!A:C,3,0)</f>
        <v>24.8</v>
      </c>
      <c r="K164" s="341">
        <v>3551</v>
      </c>
      <c r="L164" s="341">
        <v>100</v>
      </c>
      <c r="M164" s="354">
        <v>-8.2600000000000007E-2</v>
      </c>
    </row>
    <row r="165" spans="1:13">
      <c r="A165" s="342" t="s">
        <v>2737</v>
      </c>
      <c r="B165" s="342" t="s">
        <v>2738</v>
      </c>
      <c r="C165" s="342">
        <v>35761</v>
      </c>
      <c r="D165" s="343">
        <v>41548.000002997687</v>
      </c>
      <c r="E165" s="343">
        <v>42644.00000299768</v>
      </c>
      <c r="F165" s="344">
        <v>501500000</v>
      </c>
      <c r="G165" s="344">
        <v>164000000</v>
      </c>
      <c r="H165" s="341">
        <v>101.6</v>
      </c>
      <c r="I165" s="341">
        <v>28.16</v>
      </c>
      <c r="J165" s="341">
        <f>VLOOKUP(3576,收盤價!A:C,3,0)</f>
        <v>24.8</v>
      </c>
      <c r="K165" s="341">
        <v>3551</v>
      </c>
      <c r="L165" s="341">
        <v>100</v>
      </c>
      <c r="M165" s="354">
        <v>-1.5699999999999999E-2</v>
      </c>
    </row>
    <row r="166" spans="1:13">
      <c r="A166" s="342" t="s">
        <v>2739</v>
      </c>
      <c r="B166" s="342" t="s">
        <v>2225</v>
      </c>
      <c r="C166" s="342">
        <v>35801</v>
      </c>
      <c r="D166" s="343">
        <v>42164.00000299768</v>
      </c>
      <c r="E166" s="343">
        <v>43260.00000299768</v>
      </c>
      <c r="F166" s="344">
        <v>100000000</v>
      </c>
      <c r="G166" s="344">
        <v>100000000</v>
      </c>
      <c r="H166" s="341">
        <v>110</v>
      </c>
      <c r="I166" s="341">
        <v>10</v>
      </c>
      <c r="J166" s="341">
        <f>VLOOKUP(3580,收盤價!A:C,3,0)</f>
        <v>9.6300000000000008</v>
      </c>
      <c r="K166" s="341">
        <v>10000</v>
      </c>
      <c r="L166" s="341">
        <v>100</v>
      </c>
      <c r="M166" s="354">
        <v>-9.0899999999999995E-2</v>
      </c>
    </row>
    <row r="167" spans="1:13">
      <c r="A167" s="342" t="s">
        <v>2740</v>
      </c>
      <c r="B167" s="342" t="s">
        <v>2741</v>
      </c>
      <c r="C167" s="342">
        <v>35912</v>
      </c>
      <c r="D167" s="343">
        <v>41593.000002997687</v>
      </c>
      <c r="E167" s="343">
        <v>43419.00000299768</v>
      </c>
      <c r="F167" s="344">
        <v>1000000000</v>
      </c>
      <c r="G167" s="344">
        <v>14900000</v>
      </c>
      <c r="H167" s="341">
        <v>101.5</v>
      </c>
      <c r="I167" s="341">
        <v>33.97</v>
      </c>
      <c r="J167" s="341">
        <f>VLOOKUP(3591,收盤價!A:C,3,0)</f>
        <v>17.100000000000001</v>
      </c>
      <c r="K167" s="341">
        <v>2944</v>
      </c>
      <c r="L167" s="341">
        <v>100</v>
      </c>
      <c r="M167" s="354">
        <v>-1.4800000000000001E-2</v>
      </c>
    </row>
    <row r="168" spans="1:13">
      <c r="A168" s="342" t="s">
        <v>2742</v>
      </c>
      <c r="B168" s="342" t="s">
        <v>348</v>
      </c>
      <c r="C168" s="342">
        <v>35941</v>
      </c>
      <c r="D168" s="343">
        <v>41954.00000299768</v>
      </c>
      <c r="E168" s="343">
        <v>43780.00000299768</v>
      </c>
      <c r="F168" s="344">
        <v>300000000</v>
      </c>
      <c r="G168" s="344">
        <v>296100000</v>
      </c>
      <c r="H168" s="341">
        <v>97.4</v>
      </c>
      <c r="I168" s="341">
        <v>48.26</v>
      </c>
      <c r="J168" s="341">
        <f>VLOOKUP(3594,收盤價!A:C,3,0)</f>
        <v>27</v>
      </c>
      <c r="K168" s="341">
        <v>2072</v>
      </c>
      <c r="L168" s="341">
        <v>100</v>
      </c>
      <c r="M168" s="354">
        <v>2.6700000000000002E-2</v>
      </c>
    </row>
    <row r="169" spans="1:13">
      <c r="A169" s="342" t="s">
        <v>2743</v>
      </c>
      <c r="B169" s="342" t="s">
        <v>2744</v>
      </c>
      <c r="C169" s="342">
        <v>35981</v>
      </c>
      <c r="D169" s="343">
        <v>40847.000002997687</v>
      </c>
      <c r="E169" s="343">
        <v>42674.00000299768</v>
      </c>
      <c r="F169" s="344">
        <v>400000000</v>
      </c>
      <c r="G169" s="344">
        <v>19300000</v>
      </c>
    </row>
    <row r="170" spans="1:13">
      <c r="A170" s="342" t="s">
        <v>2745</v>
      </c>
      <c r="B170" s="342" t="s">
        <v>2746</v>
      </c>
      <c r="C170" s="342">
        <v>36072</v>
      </c>
      <c r="D170" s="343">
        <v>42184.00000299768</v>
      </c>
      <c r="E170" s="343">
        <v>44011.00000299768</v>
      </c>
      <c r="F170" s="344">
        <v>800000000</v>
      </c>
      <c r="G170" s="344">
        <v>800000000</v>
      </c>
      <c r="H170" s="341">
        <v>102</v>
      </c>
      <c r="I170" s="341">
        <v>66.72</v>
      </c>
      <c r="J170" s="341">
        <f>VLOOKUP(3607,收盤價!A:C,3,0)</f>
        <v>50.2</v>
      </c>
      <c r="K170" s="341">
        <v>1499</v>
      </c>
      <c r="L170" s="341">
        <v>100</v>
      </c>
      <c r="M170" s="354">
        <v>-1.9599999999999999E-2</v>
      </c>
    </row>
    <row r="171" spans="1:13">
      <c r="A171" s="342" t="s">
        <v>2745</v>
      </c>
      <c r="B171" s="342" t="s">
        <v>2746</v>
      </c>
      <c r="C171" s="342">
        <v>36071</v>
      </c>
      <c r="D171" s="343">
        <v>41218.000002997687</v>
      </c>
      <c r="E171" s="343">
        <v>43044.00000299768</v>
      </c>
      <c r="F171" s="344">
        <v>600000000</v>
      </c>
      <c r="G171" s="344">
        <v>0</v>
      </c>
    </row>
    <row r="172" spans="1:13">
      <c r="A172" s="342" t="s">
        <v>2747</v>
      </c>
      <c r="B172" s="342" t="s">
        <v>349</v>
      </c>
      <c r="C172" s="342">
        <v>36091</v>
      </c>
      <c r="D172" s="343">
        <v>41915.000002997687</v>
      </c>
      <c r="E172" s="343">
        <v>43011.00000299768</v>
      </c>
      <c r="F172" s="344">
        <v>150000000</v>
      </c>
      <c r="G172" s="344">
        <v>150000000</v>
      </c>
      <c r="H172" s="341">
        <v>107</v>
      </c>
      <c r="I172" s="341">
        <v>18.350000000000001</v>
      </c>
      <c r="J172" s="341">
        <f>VLOOKUP(3609,收盤價!A:C,3,0)</f>
        <v>12.45</v>
      </c>
      <c r="K172" s="341">
        <v>5450</v>
      </c>
      <c r="L172" s="341">
        <v>100</v>
      </c>
      <c r="M172" s="354">
        <v>-6.54E-2</v>
      </c>
    </row>
    <row r="173" spans="1:13">
      <c r="A173" s="342" t="s">
        <v>2748</v>
      </c>
      <c r="B173" s="342" t="s">
        <v>350</v>
      </c>
      <c r="C173" s="342">
        <v>36111</v>
      </c>
      <c r="D173" s="343">
        <v>42369.00000299768</v>
      </c>
      <c r="E173" s="343">
        <v>43465.00000299768</v>
      </c>
      <c r="F173" s="344">
        <v>1200000000</v>
      </c>
      <c r="G173" s="344">
        <v>1200000000</v>
      </c>
    </row>
    <row r="174" spans="1:13">
      <c r="A174" s="342" t="s">
        <v>2749</v>
      </c>
      <c r="B174" s="342" t="s">
        <v>353</v>
      </c>
      <c r="C174" s="342">
        <v>36251</v>
      </c>
      <c r="D174" s="343">
        <v>42045.00000299768</v>
      </c>
      <c r="E174" s="343">
        <v>43141.00000299768</v>
      </c>
      <c r="F174" s="344">
        <v>200000000</v>
      </c>
      <c r="G174" s="344">
        <v>200000000</v>
      </c>
      <c r="H174" s="341">
        <v>109.8</v>
      </c>
      <c r="I174" s="341">
        <v>11.1</v>
      </c>
      <c r="J174" s="341">
        <f>VLOOKUP(3625,收盤價!A:C,3,0)</f>
        <v>9.25</v>
      </c>
      <c r="K174" s="341">
        <v>9009</v>
      </c>
      <c r="L174" s="341">
        <v>100</v>
      </c>
      <c r="M174" s="354">
        <v>-8.9300000000000004E-2</v>
      </c>
    </row>
    <row r="175" spans="1:13">
      <c r="A175" s="342" t="s">
        <v>2750</v>
      </c>
      <c r="B175" s="342" t="s">
        <v>355</v>
      </c>
      <c r="C175" s="342">
        <v>36311</v>
      </c>
      <c r="D175" s="343">
        <v>40885.000002997687</v>
      </c>
      <c r="E175" s="343">
        <v>42712.00000299768</v>
      </c>
      <c r="F175" s="344">
        <v>300000000</v>
      </c>
      <c r="G175" s="344">
        <v>94000000</v>
      </c>
      <c r="H175" s="341">
        <v>104.5</v>
      </c>
      <c r="I175" s="341">
        <v>40.700000000000003</v>
      </c>
      <c r="J175" s="341">
        <f>VLOOKUP(3631,收盤價!A:C,3,0)</f>
        <v>23.2</v>
      </c>
      <c r="K175" s="341">
        <v>2457</v>
      </c>
      <c r="L175" s="341">
        <v>100</v>
      </c>
      <c r="M175" s="354">
        <v>-4.3099999999999999E-2</v>
      </c>
    </row>
    <row r="176" spans="1:13">
      <c r="A176" s="342" t="s">
        <v>2751</v>
      </c>
      <c r="B176" s="342" t="s">
        <v>1547</v>
      </c>
      <c r="C176" s="342">
        <v>36321</v>
      </c>
      <c r="D176" s="343">
        <v>41106.000002997687</v>
      </c>
      <c r="E176" s="343">
        <v>42932.00000299768</v>
      </c>
      <c r="F176" s="344">
        <v>200000000</v>
      </c>
      <c r="G176" s="344">
        <v>0</v>
      </c>
    </row>
    <row r="177" spans="1:13">
      <c r="A177" s="342" t="s">
        <v>2752</v>
      </c>
      <c r="B177" s="342" t="s">
        <v>2405</v>
      </c>
      <c r="C177" s="342">
        <v>36623</v>
      </c>
      <c r="D177" s="343">
        <v>41817.000002997687</v>
      </c>
      <c r="E177" s="343">
        <v>42913.00000299768</v>
      </c>
      <c r="F177" s="344">
        <v>400000000</v>
      </c>
      <c r="G177" s="344">
        <v>54700000</v>
      </c>
      <c r="H177" s="341">
        <v>106.95</v>
      </c>
      <c r="I177" s="341">
        <v>92.49</v>
      </c>
      <c r="J177" s="341">
        <f>VLOOKUP(3662,收盤價!A:C,3,0)</f>
        <v>90.9</v>
      </c>
      <c r="K177" s="341">
        <v>1081</v>
      </c>
      <c r="L177" s="341">
        <v>100</v>
      </c>
      <c r="M177" s="354">
        <v>-6.5000000000000002E-2</v>
      </c>
    </row>
    <row r="178" spans="1:13">
      <c r="A178" s="342" t="s">
        <v>2753</v>
      </c>
      <c r="B178" s="342" t="s">
        <v>2380</v>
      </c>
      <c r="C178" s="342">
        <v>36632</v>
      </c>
      <c r="D178" s="343">
        <v>41534.000002997687</v>
      </c>
      <c r="E178" s="343">
        <v>43360.00000299768</v>
      </c>
      <c r="F178" s="344">
        <v>100000000</v>
      </c>
      <c r="G178" s="344">
        <v>15000000</v>
      </c>
      <c r="H178" s="341">
        <v>102</v>
      </c>
      <c r="I178" s="341">
        <v>24.2</v>
      </c>
      <c r="J178" s="341">
        <f>VLOOKUP(3663,收盤價!A:C,3,0)</f>
        <v>16.5</v>
      </c>
      <c r="K178" s="341">
        <v>4132</v>
      </c>
      <c r="L178" s="341">
        <v>100</v>
      </c>
      <c r="M178" s="354">
        <v>-1.9599999999999999E-2</v>
      </c>
    </row>
    <row r="179" spans="1:13">
      <c r="A179" s="342" t="s">
        <v>2753</v>
      </c>
      <c r="B179" s="342" t="s">
        <v>2380</v>
      </c>
      <c r="C179" s="342">
        <v>36631</v>
      </c>
      <c r="D179" s="343">
        <v>41533.000002997687</v>
      </c>
      <c r="E179" s="343">
        <v>42629.00000299768</v>
      </c>
      <c r="F179" s="344">
        <v>200000000</v>
      </c>
      <c r="G179" s="344">
        <v>48300000</v>
      </c>
      <c r="H179" s="341">
        <v>101.45</v>
      </c>
      <c r="I179" s="341">
        <v>24.2</v>
      </c>
      <c r="J179" s="341">
        <f>VLOOKUP(3663,收盤價!A:C,3,0)</f>
        <v>16.5</v>
      </c>
      <c r="K179" s="341">
        <v>4132</v>
      </c>
      <c r="L179" s="341">
        <v>100</v>
      </c>
      <c r="M179" s="354">
        <v>-1.43E-2</v>
      </c>
    </row>
    <row r="180" spans="1:13">
      <c r="A180" s="342" t="s">
        <v>2754</v>
      </c>
      <c r="B180" s="342" t="s">
        <v>2755</v>
      </c>
      <c r="C180" s="342">
        <v>36652</v>
      </c>
      <c r="D180" s="343">
        <v>41850.000002997687</v>
      </c>
      <c r="E180" s="343">
        <v>42946.00000299768</v>
      </c>
      <c r="F180" s="344">
        <v>200000000</v>
      </c>
      <c r="G180" s="344">
        <v>160500000</v>
      </c>
      <c r="H180" s="341">
        <v>118.2</v>
      </c>
      <c r="I180" s="341">
        <v>124.1</v>
      </c>
      <c r="J180" s="341">
        <f>VLOOKUP(3665,收盤價!A:C,3,0)</f>
        <v>144.5</v>
      </c>
      <c r="K180" s="341">
        <v>806</v>
      </c>
      <c r="L180" s="341">
        <v>112.84</v>
      </c>
      <c r="M180" s="354">
        <v>-4.53E-2</v>
      </c>
    </row>
    <row r="181" spans="1:13">
      <c r="A181" s="342" t="s">
        <v>2756</v>
      </c>
      <c r="B181" s="342" t="s">
        <v>2127</v>
      </c>
      <c r="C181" s="342">
        <v>36801</v>
      </c>
      <c r="D181" s="343">
        <v>41429.000002997687</v>
      </c>
      <c r="E181" s="343">
        <v>42525.00000299768</v>
      </c>
      <c r="F181" s="344">
        <v>445000000</v>
      </c>
      <c r="G181" s="344">
        <v>445000000</v>
      </c>
      <c r="H181" s="341">
        <v>99.15</v>
      </c>
      <c r="I181" s="341">
        <v>65</v>
      </c>
      <c r="J181" s="341">
        <f>VLOOKUP(3680,收盤價!A:C,3,0)</f>
        <v>29.2</v>
      </c>
      <c r="K181" s="341">
        <v>1538</v>
      </c>
      <c r="L181" s="341">
        <v>100</v>
      </c>
      <c r="M181" s="354">
        <v>8.6E-3</v>
      </c>
    </row>
    <row r="182" spans="1:13">
      <c r="A182" s="342" t="s">
        <v>2757</v>
      </c>
      <c r="B182" s="342" t="s">
        <v>2186</v>
      </c>
      <c r="C182" s="342">
        <v>36891</v>
      </c>
      <c r="D182" s="343">
        <v>41607.000002997687</v>
      </c>
      <c r="E182" s="343">
        <v>42703.00000299768</v>
      </c>
      <c r="F182" s="344">
        <v>300000000</v>
      </c>
      <c r="G182" s="344">
        <v>17200000</v>
      </c>
      <c r="H182" s="341">
        <v>102.5</v>
      </c>
      <c r="I182" s="341">
        <v>75.099999999999994</v>
      </c>
      <c r="J182" s="341">
        <f>VLOOKUP(3689,收盤價!A:C,3,0)</f>
        <v>33.950000000000003</v>
      </c>
      <c r="K182" s="341">
        <v>1332</v>
      </c>
      <c r="L182" s="341">
        <v>100</v>
      </c>
      <c r="M182" s="354">
        <v>-2.4400000000000002E-2</v>
      </c>
    </row>
    <row r="183" spans="1:13">
      <c r="A183" s="342" t="s">
        <v>2758</v>
      </c>
      <c r="B183" s="342" t="s">
        <v>1558</v>
      </c>
      <c r="C183" s="342">
        <v>36911</v>
      </c>
      <c r="D183" s="343">
        <v>41845.000002997687</v>
      </c>
      <c r="E183" s="343">
        <v>43671.00000299768</v>
      </c>
      <c r="F183" s="344">
        <v>1800000000</v>
      </c>
      <c r="G183" s="344">
        <v>1800000000</v>
      </c>
      <c r="H183" s="341">
        <v>120.4</v>
      </c>
      <c r="I183" s="341">
        <v>608</v>
      </c>
      <c r="J183" s="341">
        <f>VLOOKUP(3691,收盤價!A:C,3,0)</f>
        <v>732</v>
      </c>
      <c r="K183" s="341">
        <v>164</v>
      </c>
      <c r="L183" s="341">
        <v>118.244</v>
      </c>
      <c r="M183" s="354">
        <v>-1.7899999999999999E-2</v>
      </c>
    </row>
    <row r="184" spans="1:13">
      <c r="A184" s="342" t="s">
        <v>2759</v>
      </c>
      <c r="B184" s="342" t="s">
        <v>361</v>
      </c>
      <c r="C184" s="342">
        <v>36931</v>
      </c>
      <c r="D184" s="343">
        <v>42192.00000299768</v>
      </c>
      <c r="E184" s="343">
        <v>44019.00000299768</v>
      </c>
      <c r="F184" s="344">
        <v>500000000</v>
      </c>
      <c r="G184" s="344">
        <v>500000000</v>
      </c>
      <c r="H184" s="341">
        <v>109.95</v>
      </c>
      <c r="I184" s="341">
        <v>121.5</v>
      </c>
      <c r="J184" s="341">
        <f>VLOOKUP(3693,收盤價!A:C,3,0)</f>
        <v>112</v>
      </c>
      <c r="K184" s="341">
        <v>823</v>
      </c>
      <c r="L184" s="341">
        <v>100</v>
      </c>
      <c r="M184" s="354">
        <v>-9.0499999999999997E-2</v>
      </c>
    </row>
    <row r="185" spans="1:13">
      <c r="A185" s="342" t="s">
        <v>2760</v>
      </c>
      <c r="B185" s="342" t="s">
        <v>2761</v>
      </c>
      <c r="C185" s="342">
        <v>36981</v>
      </c>
      <c r="D185" s="343">
        <v>41137.000002997687</v>
      </c>
      <c r="E185" s="343">
        <v>42963.00000299768</v>
      </c>
      <c r="F185" s="344">
        <v>1000000000</v>
      </c>
      <c r="G185" s="344">
        <v>24400000</v>
      </c>
      <c r="H185" s="341">
        <v>99.9</v>
      </c>
      <c r="I185" s="341">
        <v>23.3</v>
      </c>
      <c r="J185" s="341">
        <f>VLOOKUP(3698,收盤價!A:C,3,0)</f>
        <v>16.600000000000001</v>
      </c>
      <c r="K185" s="341">
        <v>4292</v>
      </c>
      <c r="L185" s="341">
        <v>100</v>
      </c>
      <c r="M185" s="354">
        <v>1E-3</v>
      </c>
    </row>
    <row r="186" spans="1:13">
      <c r="A186" s="342" t="s">
        <v>2760</v>
      </c>
      <c r="B186" s="342" t="s">
        <v>2761</v>
      </c>
      <c r="C186" s="342">
        <v>36982</v>
      </c>
      <c r="D186" s="343">
        <v>41648.000002997687</v>
      </c>
      <c r="E186" s="343">
        <v>43474.00000299768</v>
      </c>
      <c r="F186" s="344">
        <v>2000000000</v>
      </c>
      <c r="G186" s="344">
        <v>1998000000</v>
      </c>
      <c r="H186" s="341">
        <v>96.3</v>
      </c>
      <c r="I186" s="341">
        <v>30.08</v>
      </c>
      <c r="J186" s="341">
        <f>VLOOKUP(3698,收盤價!A:C,3,0)</f>
        <v>16.600000000000001</v>
      </c>
      <c r="K186" s="341">
        <v>3324</v>
      </c>
      <c r="L186" s="341">
        <v>100</v>
      </c>
      <c r="M186" s="354">
        <v>3.8399999999999997E-2</v>
      </c>
    </row>
    <row r="187" spans="1:13">
      <c r="A187" s="342" t="s">
        <v>2762</v>
      </c>
      <c r="B187" s="342" t="s">
        <v>2763</v>
      </c>
      <c r="C187" s="342">
        <v>37021</v>
      </c>
      <c r="D187" s="343">
        <v>41845.000002997687</v>
      </c>
      <c r="E187" s="343">
        <v>42941.00000299768</v>
      </c>
      <c r="F187" s="344">
        <v>6000000000</v>
      </c>
      <c r="G187" s="344">
        <v>6000000000</v>
      </c>
      <c r="H187" s="341">
        <v>99.5</v>
      </c>
      <c r="I187" s="341">
        <v>37.700000000000003</v>
      </c>
      <c r="J187" s="341">
        <f>VLOOKUP(3702,收盤價!A:C,3,0)</f>
        <v>32</v>
      </c>
      <c r="K187" s="341">
        <v>2653</v>
      </c>
      <c r="L187" s="341">
        <v>100</v>
      </c>
      <c r="M187" s="354">
        <v>5.0000000000000001E-3</v>
      </c>
    </row>
    <row r="188" spans="1:13">
      <c r="A188" s="342" t="s">
        <v>2764</v>
      </c>
      <c r="B188" s="342" t="s">
        <v>2765</v>
      </c>
      <c r="C188" s="342">
        <v>41045</v>
      </c>
      <c r="D188" s="343">
        <v>42254.00000299768</v>
      </c>
      <c r="E188" s="343">
        <v>43350.00000299768</v>
      </c>
      <c r="F188" s="344">
        <v>300000000</v>
      </c>
      <c r="G188" s="344">
        <v>251700000</v>
      </c>
      <c r="H188" s="341">
        <v>127</v>
      </c>
      <c r="I188" s="341">
        <v>39.299999999999997</v>
      </c>
      <c r="J188" s="341">
        <f>VLOOKUP(4104,收盤價!A:C,3,0)</f>
        <v>49.6</v>
      </c>
      <c r="K188" s="341">
        <v>2545</v>
      </c>
      <c r="L188" s="341">
        <v>124.95950000000001</v>
      </c>
      <c r="M188" s="354">
        <v>-1.61E-2</v>
      </c>
    </row>
    <row r="189" spans="1:13">
      <c r="A189" s="342" t="s">
        <v>2766</v>
      </c>
      <c r="B189" s="342" t="s">
        <v>2279</v>
      </c>
      <c r="C189" s="342">
        <v>41072</v>
      </c>
      <c r="D189" s="343">
        <v>41543.000002997687</v>
      </c>
      <c r="E189" s="343">
        <v>42639.00000299768</v>
      </c>
      <c r="F189" s="344">
        <v>160000000</v>
      </c>
      <c r="G189" s="344">
        <v>17000000</v>
      </c>
      <c r="H189" s="341">
        <v>207</v>
      </c>
      <c r="I189" s="341">
        <v>66.599999999999994</v>
      </c>
      <c r="J189" s="341">
        <f>VLOOKUP(4107,收盤價!A:C,3,0)</f>
        <v>125.5</v>
      </c>
      <c r="K189" s="341">
        <v>1502</v>
      </c>
      <c r="L189" s="341">
        <v>196.011</v>
      </c>
      <c r="M189" s="354">
        <v>-5.3100000000000001E-2</v>
      </c>
    </row>
    <row r="190" spans="1:13">
      <c r="A190" s="342" t="s">
        <v>2767</v>
      </c>
      <c r="B190" s="342" t="s">
        <v>1563</v>
      </c>
      <c r="C190" s="342">
        <v>41093</v>
      </c>
      <c r="D190" s="343">
        <v>42046.00000299768</v>
      </c>
      <c r="E190" s="343">
        <v>43872.00000299768</v>
      </c>
      <c r="F190" s="344">
        <v>250000000</v>
      </c>
      <c r="G190" s="344">
        <v>240600000</v>
      </c>
      <c r="H190" s="341">
        <v>114.9</v>
      </c>
      <c r="I190" s="341">
        <v>22.3</v>
      </c>
      <c r="J190" s="341">
        <f>VLOOKUP(4109,收盤價!A:C,3,0)</f>
        <v>24.6</v>
      </c>
      <c r="K190" s="341">
        <v>4484</v>
      </c>
      <c r="L190" s="341">
        <v>111.8758</v>
      </c>
      <c r="M190" s="354">
        <v>-2.63E-2</v>
      </c>
    </row>
    <row r="191" spans="1:13">
      <c r="A191" s="342" t="s">
        <v>2768</v>
      </c>
      <c r="B191" s="342" t="s">
        <v>363</v>
      </c>
      <c r="C191" s="342">
        <v>41133</v>
      </c>
      <c r="D191" s="343">
        <v>41568.000002997687</v>
      </c>
      <c r="E191" s="343">
        <v>43394.00000299768</v>
      </c>
      <c r="F191" s="344">
        <v>500000000</v>
      </c>
      <c r="G191" s="344">
        <v>25200000</v>
      </c>
      <c r="H191" s="341">
        <v>100</v>
      </c>
      <c r="I191" s="341">
        <v>15.1</v>
      </c>
      <c r="J191" s="341">
        <f>VLOOKUP(4113,收盤價!A:C,3,0)</f>
        <v>9.9499999999999993</v>
      </c>
      <c r="K191" s="341">
        <v>6623</v>
      </c>
      <c r="L191" s="341">
        <v>100</v>
      </c>
      <c r="M191" s="355">
        <v>0</v>
      </c>
    </row>
    <row r="192" spans="1:13">
      <c r="A192" s="342" t="s">
        <v>2768</v>
      </c>
      <c r="B192" s="342" t="s">
        <v>363</v>
      </c>
      <c r="C192" s="342">
        <v>41134</v>
      </c>
      <c r="D192" s="343">
        <v>41870.000002997687</v>
      </c>
      <c r="E192" s="343">
        <v>43696.00000299768</v>
      </c>
      <c r="F192" s="344">
        <v>600000000</v>
      </c>
      <c r="G192" s="344">
        <v>188300000</v>
      </c>
      <c r="H192" s="341">
        <v>98.5</v>
      </c>
      <c r="I192" s="341">
        <v>14.8</v>
      </c>
      <c r="J192" s="341">
        <f>VLOOKUP(4113,收盤價!A:C,3,0)</f>
        <v>9.9499999999999993</v>
      </c>
      <c r="K192" s="341">
        <v>6757</v>
      </c>
      <c r="L192" s="341">
        <v>100</v>
      </c>
      <c r="M192" s="354">
        <v>1.52E-2</v>
      </c>
    </row>
    <row r="193" spans="1:13">
      <c r="A193" s="342" t="s">
        <v>2769</v>
      </c>
      <c r="B193" s="342" t="s">
        <v>2102</v>
      </c>
      <c r="C193" s="342">
        <v>41145</v>
      </c>
      <c r="D193" s="343">
        <v>41950.000002997687</v>
      </c>
      <c r="E193" s="343">
        <v>43776.00000299768</v>
      </c>
      <c r="F193" s="344">
        <v>500000000</v>
      </c>
      <c r="G193" s="344">
        <v>500000000</v>
      </c>
      <c r="H193" s="341">
        <v>114</v>
      </c>
      <c r="I193" s="341">
        <v>36.61</v>
      </c>
      <c r="J193" s="341">
        <f>VLOOKUP(4114,收盤價!A:C,3,0)</f>
        <v>36.200000000000003</v>
      </c>
      <c r="K193" s="341">
        <v>2731</v>
      </c>
      <c r="L193" s="341">
        <v>100</v>
      </c>
      <c r="M193" s="354">
        <v>-0.12280000000000001</v>
      </c>
    </row>
    <row r="194" spans="1:13">
      <c r="A194" s="342" t="s">
        <v>2769</v>
      </c>
      <c r="B194" s="342" t="s">
        <v>2102</v>
      </c>
      <c r="C194" s="342">
        <v>41143</v>
      </c>
      <c r="D194" s="343">
        <v>40567.000002997687</v>
      </c>
      <c r="E194" s="343">
        <v>42393.00000299768</v>
      </c>
      <c r="F194" s="344">
        <v>350000000</v>
      </c>
      <c r="G194" s="344">
        <v>43000000</v>
      </c>
      <c r="H194" s="341">
        <v>140</v>
      </c>
      <c r="I194" s="341">
        <v>26.09</v>
      </c>
      <c r="J194" s="341">
        <f>VLOOKUP(4114,收盤價!A:C,3,0)</f>
        <v>36.200000000000003</v>
      </c>
      <c r="K194" s="341">
        <v>3833</v>
      </c>
      <c r="L194" s="341">
        <v>136.07149999999999</v>
      </c>
      <c r="M194" s="354">
        <v>-2.81E-2</v>
      </c>
    </row>
    <row r="195" spans="1:13">
      <c r="A195" s="342" t="s">
        <v>2770</v>
      </c>
      <c r="B195" s="342" t="s">
        <v>2771</v>
      </c>
      <c r="C195" s="342">
        <v>41191</v>
      </c>
      <c r="D195" s="343">
        <v>41495.000002997687</v>
      </c>
      <c r="E195" s="343">
        <v>42591.00000299768</v>
      </c>
      <c r="F195" s="344">
        <v>600000000</v>
      </c>
      <c r="G195" s="344">
        <v>212900000</v>
      </c>
      <c r="H195" s="341">
        <v>149.15</v>
      </c>
      <c r="I195" s="341">
        <v>59.83</v>
      </c>
      <c r="J195" s="341">
        <f>VLOOKUP(4119,收盤價!A:C,3,0)</f>
        <v>89.1</v>
      </c>
      <c r="K195" s="341">
        <v>1671</v>
      </c>
      <c r="L195" s="341">
        <v>149.38740000000001</v>
      </c>
      <c r="M195" s="354">
        <v>1.6000000000000001E-3</v>
      </c>
    </row>
    <row r="196" spans="1:13">
      <c r="A196" s="342" t="s">
        <v>2772</v>
      </c>
      <c r="B196" s="342" t="s">
        <v>1567</v>
      </c>
      <c r="C196" s="342">
        <v>41233</v>
      </c>
      <c r="D196" s="343">
        <v>42198.00000299768</v>
      </c>
      <c r="E196" s="343">
        <v>44025.00000299768</v>
      </c>
      <c r="F196" s="344">
        <v>3400000000</v>
      </c>
      <c r="G196" s="344">
        <v>2932200000</v>
      </c>
      <c r="H196" s="341">
        <v>117.1</v>
      </c>
      <c r="I196" s="341">
        <v>64.599999999999994</v>
      </c>
      <c r="J196" s="341">
        <f>VLOOKUP(4123,收盤價!A:C,3,0)</f>
        <v>74.3</v>
      </c>
      <c r="K196" s="341">
        <v>1548</v>
      </c>
      <c r="L196" s="341">
        <v>110.06279999999998</v>
      </c>
      <c r="M196" s="354">
        <v>-6.0100000000000001E-2</v>
      </c>
    </row>
    <row r="197" spans="1:13">
      <c r="A197" s="342" t="s">
        <v>2773</v>
      </c>
      <c r="B197" s="342" t="s">
        <v>2282</v>
      </c>
      <c r="C197" s="342">
        <v>41291</v>
      </c>
      <c r="D197" s="343">
        <v>41311.000002997687</v>
      </c>
      <c r="E197" s="343">
        <v>42406.00000299768</v>
      </c>
      <c r="F197" s="344">
        <v>200000000</v>
      </c>
      <c r="G197" s="344">
        <v>300000</v>
      </c>
      <c r="H197" s="341">
        <v>200</v>
      </c>
      <c r="I197" s="341">
        <v>39.299999999999997</v>
      </c>
      <c r="J197" s="341">
        <f>VLOOKUP(4129,收盤價!A:C,3,0)</f>
        <v>67.7</v>
      </c>
      <c r="K197" s="341">
        <v>2545</v>
      </c>
      <c r="L197" s="341">
        <v>172.042</v>
      </c>
      <c r="M197" s="354">
        <v>-0.13980000000000001</v>
      </c>
    </row>
    <row r="198" spans="1:13">
      <c r="A198" s="342" t="s">
        <v>2774</v>
      </c>
      <c r="B198" s="342" t="s">
        <v>366</v>
      </c>
      <c r="C198" s="342">
        <v>41301</v>
      </c>
      <c r="D198" s="343">
        <v>41999.00000299768</v>
      </c>
      <c r="E198" s="343">
        <v>43095.00000299768</v>
      </c>
      <c r="F198" s="344">
        <v>250000000</v>
      </c>
      <c r="G198" s="344">
        <v>250000000</v>
      </c>
      <c r="H198" s="341">
        <v>105</v>
      </c>
      <c r="I198" s="341">
        <v>69.599999999999994</v>
      </c>
      <c r="J198" s="341">
        <f>VLOOKUP(4130,收盤價!A:C,3,0)</f>
        <v>64.3</v>
      </c>
      <c r="K198" s="341">
        <v>1437</v>
      </c>
      <c r="L198" s="341">
        <v>100</v>
      </c>
      <c r="M198" s="354">
        <v>-4.7600000000000003E-2</v>
      </c>
    </row>
    <row r="199" spans="1:13">
      <c r="A199" s="342" t="s">
        <v>2775</v>
      </c>
      <c r="B199" s="342" t="s">
        <v>2776</v>
      </c>
      <c r="C199" s="342">
        <v>41371</v>
      </c>
      <c r="D199" s="343">
        <v>42321.00000299768</v>
      </c>
      <c r="E199" s="343">
        <v>43417.00000299768</v>
      </c>
      <c r="F199" s="344">
        <v>900000000</v>
      </c>
      <c r="G199" s="344">
        <v>900000000</v>
      </c>
      <c r="H199" s="341">
        <v>120.45</v>
      </c>
      <c r="I199" s="341">
        <v>288</v>
      </c>
      <c r="J199" s="341">
        <f>VLOOKUP(4137,收盤價!A:C,3,0)</f>
        <v>326.5</v>
      </c>
      <c r="K199" s="341">
        <v>347</v>
      </c>
      <c r="L199" s="341">
        <v>112.77500000000001</v>
      </c>
      <c r="M199" s="354">
        <v>-6.3700000000000007E-2</v>
      </c>
    </row>
    <row r="200" spans="1:13">
      <c r="A200" s="342" t="s">
        <v>2777</v>
      </c>
      <c r="B200" s="342" t="s">
        <v>2283</v>
      </c>
      <c r="C200" s="342">
        <v>41382</v>
      </c>
      <c r="D200" s="343">
        <v>42033.00000299768</v>
      </c>
      <c r="E200" s="343">
        <v>43129.00000299768</v>
      </c>
      <c r="F200" s="344">
        <v>300000000</v>
      </c>
      <c r="G200" s="344">
        <v>300000000</v>
      </c>
      <c r="H200" s="341">
        <v>109</v>
      </c>
      <c r="I200" s="341">
        <v>69.959999999999994</v>
      </c>
      <c r="J200" s="341">
        <f>VLOOKUP(4138,收盤價!A:C,3,0)</f>
        <v>62.9</v>
      </c>
      <c r="K200" s="341">
        <v>1429</v>
      </c>
      <c r="L200" s="341">
        <v>100</v>
      </c>
      <c r="M200" s="354">
        <v>-8.2600000000000007E-2</v>
      </c>
    </row>
    <row r="201" spans="1:13">
      <c r="A201" s="342" t="s">
        <v>2778</v>
      </c>
      <c r="B201" s="342" t="s">
        <v>2779</v>
      </c>
      <c r="C201" s="342">
        <v>41411</v>
      </c>
      <c r="D201" s="343">
        <v>41409.000002997687</v>
      </c>
      <c r="E201" s="343">
        <v>43235.00000299768</v>
      </c>
      <c r="F201" s="344">
        <v>400000000</v>
      </c>
      <c r="G201" s="344">
        <v>23600000</v>
      </c>
      <c r="H201" s="341">
        <v>94.5</v>
      </c>
      <c r="I201" s="341">
        <v>54.8</v>
      </c>
      <c r="J201" s="341">
        <f>VLOOKUP(4141,收盤價!A:C,3,0)</f>
        <v>29.9</v>
      </c>
      <c r="K201" s="341">
        <v>1825</v>
      </c>
      <c r="L201" s="341">
        <v>100</v>
      </c>
      <c r="M201" s="354">
        <v>5.8200000000000002E-2</v>
      </c>
    </row>
    <row r="202" spans="1:13">
      <c r="A202" s="342" t="s">
        <v>2780</v>
      </c>
      <c r="B202" s="342" t="s">
        <v>368</v>
      </c>
      <c r="C202" s="342">
        <v>41532</v>
      </c>
      <c r="D202" s="343">
        <v>42116.00000299768</v>
      </c>
      <c r="E202" s="343">
        <v>43212.00000299768</v>
      </c>
      <c r="F202" s="344">
        <v>300000000</v>
      </c>
      <c r="G202" s="344">
        <v>300000000</v>
      </c>
      <c r="H202" s="341">
        <v>108</v>
      </c>
      <c r="I202" s="341">
        <v>104.4</v>
      </c>
      <c r="J202" s="341">
        <f>VLOOKUP(4153,收盤價!A:C,3,0)</f>
        <v>72.599999999999994</v>
      </c>
      <c r="K202" s="341">
        <v>958</v>
      </c>
      <c r="L202" s="341">
        <v>100</v>
      </c>
      <c r="M202" s="354">
        <v>-7.4099999999999999E-2</v>
      </c>
    </row>
    <row r="203" spans="1:13">
      <c r="A203" s="342" t="s">
        <v>2780</v>
      </c>
      <c r="B203" s="342" t="s">
        <v>368</v>
      </c>
      <c r="C203" s="342">
        <v>41531</v>
      </c>
      <c r="D203" s="343">
        <v>41634.000002997687</v>
      </c>
      <c r="E203" s="343">
        <v>42730.00000299768</v>
      </c>
      <c r="F203" s="344">
        <v>200000000</v>
      </c>
      <c r="G203" s="344">
        <v>133600000</v>
      </c>
      <c r="H203" s="341">
        <v>245</v>
      </c>
      <c r="I203" s="341">
        <v>31.5</v>
      </c>
      <c r="J203" s="341">
        <f>VLOOKUP(4153,收盤價!A:C,3,0)</f>
        <v>72.599999999999994</v>
      </c>
      <c r="K203" s="341">
        <v>3175</v>
      </c>
      <c r="L203" s="341">
        <v>230.82249999999999</v>
      </c>
      <c r="M203" s="354">
        <v>-5.79E-2</v>
      </c>
    </row>
    <row r="204" spans="1:13">
      <c r="A204" s="342" t="s">
        <v>2781</v>
      </c>
      <c r="B204" s="342" t="s">
        <v>2106</v>
      </c>
      <c r="C204" s="342">
        <v>41611</v>
      </c>
      <c r="D204" s="343">
        <v>41656.000002997687</v>
      </c>
      <c r="E204" s="343">
        <v>42752.00000299768</v>
      </c>
      <c r="F204" s="344">
        <v>250000000</v>
      </c>
      <c r="G204" s="344">
        <v>42500000</v>
      </c>
      <c r="H204" s="341">
        <v>125</v>
      </c>
      <c r="I204" s="341">
        <v>56.8</v>
      </c>
      <c r="J204" s="341">
        <f>VLOOKUP(4161,收盤價!A:C,3,0)</f>
        <v>68.5</v>
      </c>
      <c r="K204" s="341">
        <v>1761</v>
      </c>
      <c r="L204" s="341">
        <v>119.748</v>
      </c>
      <c r="M204" s="354">
        <v>-4.2000000000000003E-2</v>
      </c>
    </row>
    <row r="205" spans="1:13">
      <c r="A205" s="342" t="s">
        <v>2782</v>
      </c>
      <c r="B205" s="342" t="s">
        <v>2107</v>
      </c>
      <c r="C205" s="342">
        <v>41631</v>
      </c>
      <c r="D205" s="343">
        <v>41871.000002997687</v>
      </c>
      <c r="E205" s="343">
        <v>43697.00000299768</v>
      </c>
      <c r="F205" s="344">
        <v>500000000</v>
      </c>
      <c r="G205" s="344">
        <v>500000000</v>
      </c>
      <c r="H205" s="341">
        <v>102.5</v>
      </c>
      <c r="I205" s="341">
        <v>181.9</v>
      </c>
      <c r="J205" s="341">
        <f>VLOOKUP(4163,收盤價!A:C,3,0)</f>
        <v>124.5</v>
      </c>
      <c r="K205" s="341">
        <v>550</v>
      </c>
      <c r="L205" s="341">
        <v>100</v>
      </c>
      <c r="M205" s="354">
        <v>-2.4400000000000002E-2</v>
      </c>
    </row>
    <row r="206" spans="1:13">
      <c r="A206" s="342" t="s">
        <v>2783</v>
      </c>
      <c r="B206" s="342" t="s">
        <v>2784</v>
      </c>
      <c r="C206" s="342">
        <v>41642</v>
      </c>
      <c r="D206" s="343">
        <v>42318.00000299768</v>
      </c>
      <c r="E206" s="343">
        <v>43414.00000299768</v>
      </c>
      <c r="F206" s="344">
        <v>1000000000</v>
      </c>
      <c r="G206" s="344">
        <v>1000000000</v>
      </c>
      <c r="H206" s="341">
        <v>114</v>
      </c>
      <c r="I206" s="341">
        <v>58.4</v>
      </c>
      <c r="J206" s="341">
        <f>VLOOKUP(4164,收盤價!A:C,3,0)</f>
        <v>58.6</v>
      </c>
      <c r="K206" s="341">
        <v>1712</v>
      </c>
      <c r="L206" s="341">
        <v>101.52159999999999</v>
      </c>
      <c r="M206" s="354">
        <v>-0.1095</v>
      </c>
    </row>
    <row r="207" spans="1:13">
      <c r="A207" s="342" t="s">
        <v>2783</v>
      </c>
      <c r="B207" s="342" t="s">
        <v>2784</v>
      </c>
      <c r="C207" s="342">
        <v>41641</v>
      </c>
      <c r="D207" s="343">
        <v>41486.000002997687</v>
      </c>
      <c r="E207" s="343">
        <v>42582.00000299768</v>
      </c>
      <c r="F207" s="344">
        <v>1000000000</v>
      </c>
      <c r="G207" s="344">
        <v>0</v>
      </c>
    </row>
    <row r="208" spans="1:13">
      <c r="A208" s="342" t="s">
        <v>2785</v>
      </c>
      <c r="B208" s="342" t="s">
        <v>2786</v>
      </c>
      <c r="C208" s="342" t="s">
        <v>2787</v>
      </c>
      <c r="D208" s="343">
        <v>41834.000002997687</v>
      </c>
      <c r="E208" s="343">
        <v>42930.00000299768</v>
      </c>
      <c r="F208" s="344">
        <v>150000000</v>
      </c>
      <c r="G208" s="344">
        <v>61100000</v>
      </c>
    </row>
    <row r="209" spans="1:13">
      <c r="A209" s="342" t="s">
        <v>2788</v>
      </c>
      <c r="B209" s="342" t="s">
        <v>2789</v>
      </c>
      <c r="C209" s="342" t="s">
        <v>2515</v>
      </c>
      <c r="D209" s="343">
        <v>41709.000002997687</v>
      </c>
      <c r="E209" s="343">
        <v>43535.00000299768</v>
      </c>
      <c r="F209" s="344">
        <v>200000000</v>
      </c>
      <c r="G209" s="344">
        <v>200000000</v>
      </c>
    </row>
    <row r="210" spans="1:13">
      <c r="A210" s="342" t="s">
        <v>2788</v>
      </c>
      <c r="B210" s="342" t="s">
        <v>2789</v>
      </c>
      <c r="C210" s="342" t="s">
        <v>2515</v>
      </c>
      <c r="D210" s="343">
        <v>41851.000002997687</v>
      </c>
      <c r="E210" s="343">
        <v>43677.00000299768</v>
      </c>
      <c r="F210" s="344">
        <v>50000000</v>
      </c>
      <c r="G210" s="344">
        <v>50000000</v>
      </c>
    </row>
    <row r="211" spans="1:13">
      <c r="A211" s="342" t="s">
        <v>2790</v>
      </c>
      <c r="B211" s="342" t="s">
        <v>2791</v>
      </c>
      <c r="C211" s="342">
        <v>43067</v>
      </c>
      <c r="D211" s="343">
        <v>41346.000002997687</v>
      </c>
      <c r="E211" s="343">
        <v>43172.00000299768</v>
      </c>
      <c r="F211" s="344">
        <v>300000000</v>
      </c>
      <c r="G211" s="344">
        <v>32300000</v>
      </c>
      <c r="H211" s="341">
        <v>101</v>
      </c>
      <c r="I211" s="341">
        <v>17.690000000000001</v>
      </c>
      <c r="J211" s="341">
        <f>VLOOKUP(4306,收盤價!A:C,3,0)</f>
        <v>11.9</v>
      </c>
      <c r="K211" s="341">
        <v>5653</v>
      </c>
      <c r="L211" s="341">
        <v>100</v>
      </c>
      <c r="M211" s="354">
        <v>-9.9000000000000008E-3</v>
      </c>
    </row>
    <row r="212" spans="1:13">
      <c r="A212" s="342" t="s">
        <v>2790</v>
      </c>
      <c r="B212" s="342" t="s">
        <v>2791</v>
      </c>
      <c r="C212" s="342">
        <v>43066</v>
      </c>
      <c r="D212" s="343">
        <v>40616.000002997687</v>
      </c>
      <c r="E212" s="343">
        <v>42443.00000299768</v>
      </c>
      <c r="F212" s="344">
        <v>1000000000</v>
      </c>
      <c r="G212" s="344">
        <v>667400000</v>
      </c>
      <c r="H212" s="341">
        <v>98.8</v>
      </c>
      <c r="I212" s="341">
        <v>20.65</v>
      </c>
      <c r="J212" s="341">
        <f>VLOOKUP(4306,收盤價!A:C,3,0)</f>
        <v>11.9</v>
      </c>
      <c r="K212" s="341">
        <v>4843</v>
      </c>
      <c r="L212" s="341">
        <v>100</v>
      </c>
      <c r="M212" s="354">
        <v>1.21E-2</v>
      </c>
    </row>
    <row r="213" spans="1:13">
      <c r="A213" s="342" t="s">
        <v>2792</v>
      </c>
      <c r="B213" s="342" t="s">
        <v>2793</v>
      </c>
      <c r="C213" s="342">
        <v>44144</v>
      </c>
      <c r="D213" s="343">
        <v>42027.00000299768</v>
      </c>
      <c r="E213" s="343">
        <v>43123.00000299768</v>
      </c>
      <c r="F213" s="344">
        <v>990000000</v>
      </c>
      <c r="G213" s="344">
        <v>990000000</v>
      </c>
      <c r="H213" s="341">
        <v>145</v>
      </c>
      <c r="I213" s="341">
        <v>17.100000000000001</v>
      </c>
      <c r="J213" s="341">
        <f>VLOOKUP(4414,收盤價!A:C,3,0)</f>
        <v>21.5</v>
      </c>
      <c r="K213" s="341">
        <v>5848</v>
      </c>
      <c r="L213" s="341">
        <v>125.732</v>
      </c>
      <c r="M213" s="354">
        <v>-0.13289999999999999</v>
      </c>
    </row>
    <row r="214" spans="1:13">
      <c r="A214" s="342" t="s">
        <v>2794</v>
      </c>
      <c r="B214" s="342" t="s">
        <v>378</v>
      </c>
      <c r="C214" s="342">
        <v>44161</v>
      </c>
      <c r="D214" s="343">
        <v>41565.000002997687</v>
      </c>
      <c r="E214" s="343">
        <v>43391.00000299768</v>
      </c>
      <c r="F214" s="344">
        <v>1000000000</v>
      </c>
      <c r="G214" s="344">
        <v>997900000</v>
      </c>
      <c r="H214" s="341">
        <v>99.8</v>
      </c>
      <c r="I214" s="341">
        <v>123.8</v>
      </c>
      <c r="J214" s="341">
        <f>VLOOKUP(4416,收盤價!A:C,3,0)</f>
        <v>91.3</v>
      </c>
      <c r="K214" s="341">
        <v>808</v>
      </c>
      <c r="L214" s="341">
        <v>100</v>
      </c>
      <c r="M214" s="354">
        <v>2E-3</v>
      </c>
    </row>
    <row r="215" spans="1:13">
      <c r="A215" s="342" t="s">
        <v>2795</v>
      </c>
      <c r="B215" s="342" t="s">
        <v>2084</v>
      </c>
      <c r="C215" s="342">
        <v>45231</v>
      </c>
      <c r="D215" s="343">
        <v>41299.000002997687</v>
      </c>
      <c r="E215" s="343">
        <v>43125.00000299768</v>
      </c>
      <c r="F215" s="344">
        <v>200000000</v>
      </c>
      <c r="G215" s="344">
        <v>32800000</v>
      </c>
      <c r="H215" s="341">
        <v>100.3</v>
      </c>
      <c r="I215" s="341">
        <v>33</v>
      </c>
      <c r="J215" s="341">
        <f>VLOOKUP(4523,收盤價!A:C,3,0)</f>
        <v>17.5</v>
      </c>
      <c r="K215" s="341">
        <v>3030</v>
      </c>
      <c r="L215" s="341">
        <v>100</v>
      </c>
      <c r="M215" s="354">
        <v>-3.0000000000000001E-3</v>
      </c>
    </row>
    <row r="216" spans="1:13">
      <c r="A216" s="342" t="s">
        <v>2796</v>
      </c>
      <c r="B216" s="342" t="s">
        <v>2797</v>
      </c>
      <c r="C216" s="342">
        <v>45322</v>
      </c>
      <c r="D216" s="343">
        <v>42194.00000299768</v>
      </c>
      <c r="E216" s="343">
        <v>43290.00000299768</v>
      </c>
      <c r="F216" s="344">
        <v>1000000000</v>
      </c>
      <c r="G216" s="344">
        <v>1000000000</v>
      </c>
      <c r="H216" s="341">
        <v>98.5</v>
      </c>
      <c r="I216" s="341">
        <v>28.9</v>
      </c>
      <c r="J216" s="341">
        <f>VLOOKUP(4532,收盤價!A:C,3,0)</f>
        <v>24.6</v>
      </c>
      <c r="K216" s="341">
        <v>3460</v>
      </c>
      <c r="L216" s="341">
        <v>100</v>
      </c>
      <c r="M216" s="354">
        <v>1.52E-2</v>
      </c>
    </row>
    <row r="217" spans="1:13">
      <c r="A217" s="342" t="s">
        <v>2798</v>
      </c>
      <c r="B217" s="342" t="s">
        <v>2799</v>
      </c>
      <c r="C217" s="342">
        <v>45342</v>
      </c>
      <c r="D217" s="343">
        <v>41548.000002997687</v>
      </c>
      <c r="E217" s="343">
        <v>42644.00000299768</v>
      </c>
      <c r="F217" s="344">
        <v>200000000</v>
      </c>
      <c r="G217" s="344">
        <v>1200000</v>
      </c>
    </row>
    <row r="218" spans="1:13">
      <c r="A218" s="342" t="s">
        <v>2800</v>
      </c>
      <c r="B218" s="342" t="s">
        <v>2253</v>
      </c>
      <c r="C218" s="342">
        <v>45411</v>
      </c>
      <c r="D218" s="343">
        <v>41999.00000299768</v>
      </c>
      <c r="E218" s="343">
        <v>43095.00000299768</v>
      </c>
      <c r="F218" s="344">
        <v>300000000</v>
      </c>
      <c r="G218" s="344">
        <v>300000000</v>
      </c>
      <c r="H218" s="341">
        <v>105</v>
      </c>
      <c r="I218" s="341">
        <v>47.8</v>
      </c>
      <c r="J218" s="341">
        <f>VLOOKUP(4541,收盤價!A:C,3,0)</f>
        <v>33.299999999999997</v>
      </c>
      <c r="K218" s="341">
        <v>2092</v>
      </c>
      <c r="L218" s="341">
        <v>100</v>
      </c>
      <c r="M218" s="354">
        <v>-4.7600000000000003E-2</v>
      </c>
    </row>
    <row r="219" spans="1:13">
      <c r="A219" s="342" t="s">
        <v>2800</v>
      </c>
      <c r="B219" s="342" t="s">
        <v>2253</v>
      </c>
      <c r="C219" s="342">
        <v>45412</v>
      </c>
      <c r="D219" s="343">
        <v>42000.00000299768</v>
      </c>
      <c r="E219" s="343">
        <v>43096.00000299768</v>
      </c>
      <c r="F219" s="344">
        <v>100000000</v>
      </c>
      <c r="G219" s="344">
        <v>100000000</v>
      </c>
      <c r="H219" s="341">
        <v>103</v>
      </c>
      <c r="I219" s="341">
        <v>46.8</v>
      </c>
      <c r="J219" s="341">
        <f>VLOOKUP(4541,收盤價!A:C,3,0)</f>
        <v>33.299999999999997</v>
      </c>
      <c r="K219" s="341">
        <v>2137</v>
      </c>
      <c r="L219" s="341">
        <v>100</v>
      </c>
      <c r="M219" s="354">
        <v>-2.9100000000000001E-2</v>
      </c>
    </row>
    <row r="220" spans="1:13">
      <c r="A220" s="342" t="s">
        <v>2801</v>
      </c>
      <c r="B220" s="342" t="s">
        <v>2155</v>
      </c>
      <c r="C220" s="342">
        <v>47031</v>
      </c>
      <c r="D220" s="343">
        <v>42121.00000299768</v>
      </c>
      <c r="E220" s="343">
        <v>43217.00000299768</v>
      </c>
      <c r="F220" s="344">
        <v>300000000</v>
      </c>
      <c r="G220" s="344">
        <v>300000000</v>
      </c>
      <c r="H220" s="341">
        <v>21.75</v>
      </c>
      <c r="I220" s="341">
        <v>60.1</v>
      </c>
      <c r="J220" s="341" t="e">
        <f>VLOOKUP(4703,收盤價!A:C,3,0)</f>
        <v>#N/A</v>
      </c>
      <c r="K220" s="341">
        <v>1664</v>
      </c>
      <c r="L220" s="341">
        <v>100</v>
      </c>
      <c r="M220" s="354">
        <v>3.5977000000000001</v>
      </c>
    </row>
    <row r="221" spans="1:13">
      <c r="A221" s="342" t="s">
        <v>2802</v>
      </c>
      <c r="B221" s="342" t="s">
        <v>388</v>
      </c>
      <c r="C221" s="342">
        <v>47143</v>
      </c>
      <c r="D221" s="343">
        <v>41978.00000299768</v>
      </c>
      <c r="E221" s="343">
        <v>43074.00000299768</v>
      </c>
      <c r="F221" s="344">
        <v>150000000</v>
      </c>
      <c r="G221" s="344">
        <v>134600000</v>
      </c>
      <c r="H221" s="341">
        <v>105.8</v>
      </c>
      <c r="I221" s="341">
        <v>10.5</v>
      </c>
      <c r="J221" s="341">
        <f>VLOOKUP(4714,收盤價!A:C,3,0)</f>
        <v>8.1300000000000008</v>
      </c>
      <c r="K221" s="341">
        <v>9524</v>
      </c>
      <c r="L221" s="341">
        <v>100</v>
      </c>
      <c r="M221" s="354">
        <v>-5.4800000000000001E-2</v>
      </c>
    </row>
    <row r="222" spans="1:13">
      <c r="A222" s="342" t="s">
        <v>2802</v>
      </c>
      <c r="B222" s="342" t="s">
        <v>388</v>
      </c>
      <c r="C222" s="342">
        <v>47144</v>
      </c>
      <c r="D222" s="343">
        <v>41981.00000299768</v>
      </c>
      <c r="E222" s="343">
        <v>43077.00000299768</v>
      </c>
      <c r="F222" s="344">
        <v>100000000</v>
      </c>
      <c r="G222" s="344">
        <v>36900000</v>
      </c>
      <c r="H222" s="341">
        <v>100.05</v>
      </c>
      <c r="I222" s="341">
        <v>10.6</v>
      </c>
      <c r="J222" s="341">
        <f>VLOOKUP(4714,收盤價!A:C,3,0)</f>
        <v>8.1300000000000008</v>
      </c>
      <c r="K222" s="341">
        <v>9434</v>
      </c>
      <c r="L222" s="341">
        <v>100</v>
      </c>
      <c r="M222" s="354">
        <v>-5.0000000000000001E-4</v>
      </c>
    </row>
    <row r="223" spans="1:13">
      <c r="A223" s="342" t="s">
        <v>2803</v>
      </c>
      <c r="B223" s="342" t="s">
        <v>2804</v>
      </c>
      <c r="C223" s="342">
        <v>47331</v>
      </c>
      <c r="D223" s="343">
        <v>41509.000002997687</v>
      </c>
      <c r="E223" s="343">
        <v>43335.00000299768</v>
      </c>
      <c r="F223" s="344">
        <v>710000000</v>
      </c>
      <c r="G223" s="344">
        <v>225700000</v>
      </c>
      <c r="H223" s="341">
        <v>632</v>
      </c>
      <c r="I223" s="341">
        <v>38.6</v>
      </c>
      <c r="J223" s="341">
        <f>VLOOKUP(4733,收盤價!A:C,3,0)</f>
        <v>167</v>
      </c>
      <c r="K223" s="341">
        <v>2591</v>
      </c>
      <c r="L223" s="341">
        <v>436.58350000000002</v>
      </c>
      <c r="M223" s="354">
        <v>-0.30919999999999997</v>
      </c>
    </row>
    <row r="224" spans="1:13">
      <c r="A224" s="342" t="s">
        <v>2803</v>
      </c>
      <c r="B224" s="342" t="s">
        <v>2804</v>
      </c>
      <c r="C224" s="342">
        <v>47332</v>
      </c>
      <c r="D224" s="343">
        <v>42187.00000299768</v>
      </c>
      <c r="E224" s="343">
        <v>44014.00000299768</v>
      </c>
      <c r="F224" s="344">
        <v>700000000</v>
      </c>
      <c r="G224" s="344">
        <v>700000000</v>
      </c>
      <c r="H224" s="341">
        <v>103</v>
      </c>
      <c r="I224" s="341">
        <v>280</v>
      </c>
      <c r="J224" s="341">
        <f>VLOOKUP(4733,收盤價!A:C,3,0)</f>
        <v>167</v>
      </c>
      <c r="K224" s="341">
        <v>357</v>
      </c>
      <c r="L224" s="341">
        <v>100</v>
      </c>
      <c r="M224" s="354">
        <v>-2.9100000000000001E-2</v>
      </c>
    </row>
    <row r="225" spans="1:13">
      <c r="A225" s="342" t="s">
        <v>2805</v>
      </c>
      <c r="B225" s="342" t="s">
        <v>2111</v>
      </c>
      <c r="C225" s="342">
        <v>47351</v>
      </c>
      <c r="D225" s="343">
        <v>41607.000002997687</v>
      </c>
      <c r="E225" s="343">
        <v>42703.00000299768</v>
      </c>
      <c r="F225" s="344">
        <v>100000000</v>
      </c>
      <c r="G225" s="344">
        <v>18100000</v>
      </c>
      <c r="H225" s="341">
        <v>200</v>
      </c>
      <c r="I225" s="341">
        <v>18.399999999999999</v>
      </c>
      <c r="J225" s="341">
        <f>VLOOKUP(4735,收盤價!A:C,3,0)</f>
        <v>34.200000000000003</v>
      </c>
      <c r="K225" s="341">
        <v>5435</v>
      </c>
      <c r="L225" s="341">
        <v>190.22499999999999</v>
      </c>
      <c r="M225" s="354">
        <v>-4.8899999999999999E-2</v>
      </c>
    </row>
    <row r="226" spans="1:13">
      <c r="A226" s="342" t="s">
        <v>2806</v>
      </c>
      <c r="B226" s="342" t="s">
        <v>392</v>
      </c>
      <c r="C226" s="342">
        <v>47362</v>
      </c>
      <c r="D226" s="343">
        <v>42079.00000299768</v>
      </c>
      <c r="E226" s="343">
        <v>43906.00000299768</v>
      </c>
      <c r="F226" s="344">
        <v>600000000</v>
      </c>
      <c r="G226" s="344">
        <v>600000000</v>
      </c>
      <c r="H226" s="341">
        <v>112</v>
      </c>
      <c r="I226" s="341">
        <v>126.06</v>
      </c>
      <c r="J226" s="341">
        <f>VLOOKUP(4736,收盤價!A:C,3,0)</f>
        <v>103.5</v>
      </c>
      <c r="K226" s="341">
        <v>793</v>
      </c>
      <c r="L226" s="341">
        <v>100</v>
      </c>
      <c r="M226" s="354">
        <v>-0.1071</v>
      </c>
    </row>
    <row r="227" spans="1:13">
      <c r="A227" s="342" t="s">
        <v>2806</v>
      </c>
      <c r="B227" s="342" t="s">
        <v>392</v>
      </c>
      <c r="C227" s="342">
        <v>47361</v>
      </c>
      <c r="D227" s="343">
        <v>41507.000002997687</v>
      </c>
      <c r="E227" s="343">
        <v>42603.00000299768</v>
      </c>
      <c r="F227" s="344">
        <v>600000000</v>
      </c>
      <c r="G227" s="344">
        <v>35900000</v>
      </c>
      <c r="H227" s="341">
        <v>144</v>
      </c>
      <c r="I227" s="341">
        <v>71.44</v>
      </c>
      <c r="J227" s="341">
        <f>VLOOKUP(4736,收盤價!A:C,3,0)</f>
        <v>103.5</v>
      </c>
      <c r="K227" s="341">
        <v>1400</v>
      </c>
      <c r="L227" s="341">
        <v>145.6</v>
      </c>
      <c r="M227" s="354">
        <v>1.11E-2</v>
      </c>
    </row>
    <row r="228" spans="1:13">
      <c r="A228" s="342" t="s">
        <v>2807</v>
      </c>
      <c r="B228" s="342" t="s">
        <v>1615</v>
      </c>
      <c r="C228" s="342">
        <v>47391</v>
      </c>
      <c r="D228" s="343">
        <v>41150.000002997687</v>
      </c>
      <c r="E228" s="343">
        <v>42976.00000299768</v>
      </c>
      <c r="F228" s="344">
        <v>400000000</v>
      </c>
      <c r="G228" s="344">
        <v>33100000</v>
      </c>
      <c r="H228" s="341">
        <v>343</v>
      </c>
      <c r="I228" s="341">
        <v>18.8</v>
      </c>
      <c r="J228" s="341">
        <f>VLOOKUP(4739,收盤價!A:C,3,0)</f>
        <v>40.35</v>
      </c>
      <c r="K228" s="341">
        <v>5319</v>
      </c>
      <c r="L228" s="341">
        <v>206.9091</v>
      </c>
      <c r="M228" s="354">
        <v>-0.39679999999999999</v>
      </c>
    </row>
    <row r="229" spans="1:13">
      <c r="A229" s="342" t="s">
        <v>2807</v>
      </c>
      <c r="B229" s="342" t="s">
        <v>2093</v>
      </c>
      <c r="C229" s="342">
        <v>47392</v>
      </c>
      <c r="D229" s="343">
        <v>42179.00000299768</v>
      </c>
      <c r="E229" s="343">
        <v>44006.00000299768</v>
      </c>
      <c r="F229" s="344">
        <v>600000000</v>
      </c>
      <c r="G229" s="344">
        <v>600000000</v>
      </c>
      <c r="H229" s="341">
        <v>105.5</v>
      </c>
      <c r="I229" s="341">
        <v>57.1</v>
      </c>
      <c r="J229" s="341">
        <f>VLOOKUP(4739,收盤價!A:C,3,0)</f>
        <v>40.35</v>
      </c>
      <c r="K229" s="341">
        <v>1751</v>
      </c>
      <c r="L229" s="341">
        <v>100</v>
      </c>
      <c r="M229" s="354">
        <v>-5.21E-2</v>
      </c>
    </row>
    <row r="230" spans="1:13">
      <c r="A230" s="342" t="s">
        <v>2808</v>
      </c>
      <c r="B230" s="342" t="s">
        <v>1617</v>
      </c>
      <c r="C230" s="342">
        <v>47451</v>
      </c>
      <c r="D230" s="343">
        <v>41696.000002997687</v>
      </c>
      <c r="E230" s="343">
        <v>42792.00000299768</v>
      </c>
      <c r="F230" s="344">
        <v>400000000</v>
      </c>
      <c r="G230" s="344">
        <v>213193900</v>
      </c>
      <c r="H230" s="341">
        <v>101.2</v>
      </c>
      <c r="I230" s="341">
        <v>90.87</v>
      </c>
      <c r="J230" s="341">
        <f>VLOOKUP(4745,收盤價!A:C,3,0)</f>
        <v>56</v>
      </c>
      <c r="K230" s="341">
        <v>1100</v>
      </c>
      <c r="L230" s="341">
        <v>100</v>
      </c>
      <c r="M230" s="354">
        <v>-1.1900000000000001E-2</v>
      </c>
    </row>
    <row r="231" spans="1:13">
      <c r="A231" s="342" t="s">
        <v>2809</v>
      </c>
      <c r="B231" s="342" t="s">
        <v>2810</v>
      </c>
      <c r="C231" s="342">
        <v>47462</v>
      </c>
      <c r="D231" s="343">
        <v>41851.000002997687</v>
      </c>
      <c r="E231" s="343">
        <v>42947.00000299768</v>
      </c>
      <c r="F231" s="344">
        <v>500000000</v>
      </c>
      <c r="G231" s="344">
        <v>500000000</v>
      </c>
      <c r="H231" s="341">
        <v>102</v>
      </c>
      <c r="I231" s="341">
        <v>81.7</v>
      </c>
      <c r="J231" s="341">
        <f>VLOOKUP(4746,收盤價!A:C,3,0)</f>
        <v>67</v>
      </c>
      <c r="K231" s="341">
        <v>1224</v>
      </c>
      <c r="L231" s="341">
        <v>100</v>
      </c>
      <c r="M231" s="354">
        <v>-1.9599999999999999E-2</v>
      </c>
    </row>
    <row r="232" spans="1:13">
      <c r="A232" s="342" t="s">
        <v>2811</v>
      </c>
      <c r="B232" s="342" t="s">
        <v>2812</v>
      </c>
      <c r="C232" s="342">
        <v>49063</v>
      </c>
      <c r="D232" s="343">
        <v>40749.000002997687</v>
      </c>
      <c r="E232" s="343">
        <v>42576.00000299768</v>
      </c>
      <c r="F232" s="344">
        <v>2000000000</v>
      </c>
      <c r="G232" s="344">
        <v>1841000000</v>
      </c>
      <c r="H232" s="341">
        <v>98.1</v>
      </c>
      <c r="I232" s="341">
        <v>25.9</v>
      </c>
      <c r="J232" s="341">
        <f>VLOOKUP(4906,收盤價!A:C,3,0)</f>
        <v>16.850000000000001</v>
      </c>
      <c r="K232" s="341">
        <v>3861</v>
      </c>
      <c r="L232" s="341">
        <v>100</v>
      </c>
      <c r="M232" s="354">
        <v>1.9400000000000001E-2</v>
      </c>
    </row>
    <row r="233" spans="1:13">
      <c r="A233" s="342" t="s">
        <v>2813</v>
      </c>
      <c r="B233" s="342" t="s">
        <v>2814</v>
      </c>
      <c r="C233" s="342">
        <v>49161</v>
      </c>
      <c r="D233" s="343">
        <v>41934.000002997687</v>
      </c>
      <c r="E233" s="343">
        <v>43760.00000299768</v>
      </c>
      <c r="F233" s="344">
        <v>280000000</v>
      </c>
      <c r="G233" s="344">
        <v>280000000</v>
      </c>
      <c r="H233" s="341">
        <v>98.5</v>
      </c>
      <c r="I233" s="341">
        <v>33.1</v>
      </c>
      <c r="J233" s="341">
        <f>VLOOKUP(4916,收盤價!A:C,3,0)</f>
        <v>21.25</v>
      </c>
      <c r="K233" s="341">
        <v>3021</v>
      </c>
      <c r="L233" s="341">
        <v>100</v>
      </c>
      <c r="M233" s="354">
        <v>1.52E-2</v>
      </c>
    </row>
    <row r="234" spans="1:13">
      <c r="A234" s="342" t="s">
        <v>2815</v>
      </c>
      <c r="B234" s="342" t="s">
        <v>1859</v>
      </c>
      <c r="C234" s="342">
        <v>49272</v>
      </c>
      <c r="D234" s="343">
        <v>41841.000002997687</v>
      </c>
      <c r="E234" s="343">
        <v>43667.00000299768</v>
      </c>
      <c r="F234" s="344">
        <v>650000000</v>
      </c>
      <c r="G234" s="344">
        <v>616600000</v>
      </c>
      <c r="H234" s="341">
        <v>109.05</v>
      </c>
      <c r="I234" s="341">
        <v>40.6</v>
      </c>
      <c r="J234" s="341">
        <f>VLOOKUP(4927,收盤價!A:C,3,0)</f>
        <v>38.5</v>
      </c>
      <c r="K234" s="341">
        <v>2463</v>
      </c>
      <c r="L234" s="341">
        <v>100</v>
      </c>
      <c r="M234" s="354">
        <v>-8.3000000000000004E-2</v>
      </c>
    </row>
    <row r="235" spans="1:13">
      <c r="A235" s="342" t="s">
        <v>2816</v>
      </c>
      <c r="B235" s="342" t="s">
        <v>395</v>
      </c>
      <c r="C235" s="342">
        <v>49331</v>
      </c>
      <c r="D235" s="343">
        <v>41305.000002997687</v>
      </c>
      <c r="E235" s="343">
        <v>43131.00000299768</v>
      </c>
      <c r="F235" s="344">
        <v>1000000000</v>
      </c>
      <c r="G235" s="344">
        <v>1000000000</v>
      </c>
      <c r="H235" s="341">
        <v>99.8</v>
      </c>
      <c r="I235" s="341">
        <v>89.9</v>
      </c>
      <c r="J235" s="341">
        <f>VLOOKUP(4933,收盤價!A:C,3,0)</f>
        <v>23.6</v>
      </c>
      <c r="K235" s="341">
        <v>1112</v>
      </c>
      <c r="L235" s="341">
        <v>100</v>
      </c>
      <c r="M235" s="354">
        <v>2E-3</v>
      </c>
    </row>
    <row r="236" spans="1:13">
      <c r="A236" s="342" t="s">
        <v>2817</v>
      </c>
      <c r="B236" s="342" t="s">
        <v>396</v>
      </c>
      <c r="C236" s="342">
        <v>49392</v>
      </c>
      <c r="D236" s="343">
        <v>41754.000002997687</v>
      </c>
      <c r="E236" s="343">
        <v>42850.00000299768</v>
      </c>
      <c r="F236" s="344">
        <v>300000000</v>
      </c>
      <c r="G236" s="344">
        <v>234300000</v>
      </c>
      <c r="H236" s="341">
        <v>101.6</v>
      </c>
      <c r="I236" s="341">
        <v>16.72</v>
      </c>
      <c r="J236" s="341">
        <f>VLOOKUP(4939,收盤價!A:C,3,0)</f>
        <v>7.73</v>
      </c>
      <c r="K236" s="341">
        <v>5981</v>
      </c>
      <c r="L236" s="341">
        <v>100</v>
      </c>
      <c r="M236" s="354">
        <v>-1.5699999999999999E-2</v>
      </c>
    </row>
    <row r="237" spans="1:13">
      <c r="A237" s="342" t="s">
        <v>2818</v>
      </c>
      <c r="B237" s="342" t="s">
        <v>2321</v>
      </c>
      <c r="C237" s="342">
        <v>49441</v>
      </c>
      <c r="D237" s="343">
        <v>40977.000002997687</v>
      </c>
      <c r="E237" s="343">
        <v>42803.00000299768</v>
      </c>
      <c r="F237" s="344">
        <v>300000000</v>
      </c>
      <c r="G237" s="344">
        <v>48100000</v>
      </c>
      <c r="H237" s="341">
        <v>95.2</v>
      </c>
      <c r="I237" s="341">
        <v>27.46</v>
      </c>
      <c r="J237" s="341">
        <f>VLOOKUP(4944,收盤價!A:C,3,0)</f>
        <v>12.55</v>
      </c>
      <c r="K237" s="341">
        <v>3642</v>
      </c>
      <c r="L237" s="341">
        <v>100</v>
      </c>
      <c r="M237" s="354">
        <v>5.04E-2</v>
      </c>
    </row>
    <row r="238" spans="1:13">
      <c r="A238" s="342" t="s">
        <v>2819</v>
      </c>
      <c r="B238" s="342" t="s">
        <v>2820</v>
      </c>
      <c r="C238" s="342">
        <v>49561</v>
      </c>
      <c r="D238" s="343">
        <v>41814.000002997687</v>
      </c>
      <c r="E238" s="343">
        <v>43640.00000299768</v>
      </c>
      <c r="F238" s="344">
        <v>500000000</v>
      </c>
      <c r="G238" s="344">
        <v>500000000</v>
      </c>
      <c r="H238" s="341">
        <v>98.6</v>
      </c>
      <c r="I238" s="341">
        <v>32.51</v>
      </c>
      <c r="J238" s="341">
        <f>VLOOKUP(4956,收盤價!A:C,3,0)</f>
        <v>13.3</v>
      </c>
      <c r="K238" s="341">
        <v>3076</v>
      </c>
      <c r="L238" s="341">
        <v>100</v>
      </c>
      <c r="M238" s="354">
        <v>1.4200000000000001E-2</v>
      </c>
    </row>
    <row r="239" spans="1:13">
      <c r="A239" s="342" t="s">
        <v>2821</v>
      </c>
      <c r="B239" s="342" t="s">
        <v>2822</v>
      </c>
      <c r="C239" s="342" t="s">
        <v>2823</v>
      </c>
      <c r="D239" s="343">
        <v>41953.00000299768</v>
      </c>
      <c r="E239" s="343">
        <v>43642.00000299768</v>
      </c>
      <c r="F239" s="344">
        <v>300000000</v>
      </c>
      <c r="G239" s="344">
        <v>300000000</v>
      </c>
      <c r="H239" s="341">
        <v>98.6</v>
      </c>
      <c r="I239" s="341">
        <v>32.51</v>
      </c>
      <c r="J239" s="341">
        <f>VLOOKUP(4958,收盤價!A:C,3,0)</f>
        <v>78</v>
      </c>
      <c r="K239" s="341">
        <v>3076</v>
      </c>
      <c r="L239" s="341">
        <v>240.23559999999998</v>
      </c>
      <c r="M239" s="354">
        <v>1.4365000000000001</v>
      </c>
    </row>
    <row r="240" spans="1:13">
      <c r="A240" s="342" t="s">
        <v>2824</v>
      </c>
      <c r="B240" s="342" t="s">
        <v>1629</v>
      </c>
      <c r="C240" s="342">
        <v>49711</v>
      </c>
      <c r="D240" s="343">
        <v>41828.000002997687</v>
      </c>
      <c r="E240" s="343">
        <v>42924.00000299768</v>
      </c>
      <c r="F240" s="344">
        <v>300000000</v>
      </c>
      <c r="G240" s="344">
        <v>6500000</v>
      </c>
      <c r="H240" s="341">
        <v>158</v>
      </c>
      <c r="I240" s="341">
        <v>68.900000000000006</v>
      </c>
      <c r="J240" s="341">
        <f>VLOOKUP(4971,收盤價!A:C,3,0)</f>
        <v>134.5</v>
      </c>
      <c r="K240" s="341">
        <v>1451</v>
      </c>
      <c r="L240" s="341">
        <v>175.571</v>
      </c>
      <c r="M240" s="354">
        <v>0.11119999999999999</v>
      </c>
    </row>
    <row r="241" spans="1:13">
      <c r="A241" s="342" t="s">
        <v>2825</v>
      </c>
      <c r="B241" s="342" t="s">
        <v>399</v>
      </c>
      <c r="C241" s="342">
        <v>49742</v>
      </c>
      <c r="D241" s="343">
        <v>41754.000002997687</v>
      </c>
      <c r="E241" s="343">
        <v>42850.00000299768</v>
      </c>
      <c r="F241" s="344">
        <v>450000000</v>
      </c>
      <c r="G241" s="344">
        <v>450000000</v>
      </c>
      <c r="H241" s="341">
        <v>105</v>
      </c>
      <c r="I241" s="341">
        <v>45</v>
      </c>
      <c r="J241" s="341">
        <f>VLOOKUP(4974,收盤價!A:C,3,0)</f>
        <v>36.799999999999997</v>
      </c>
      <c r="K241" s="341">
        <v>2222</v>
      </c>
      <c r="L241" s="341">
        <v>100</v>
      </c>
      <c r="M241" s="354">
        <v>-4.7600000000000003E-2</v>
      </c>
    </row>
    <row r="242" spans="1:13">
      <c r="A242" s="342" t="s">
        <v>2826</v>
      </c>
      <c r="B242" s="342" t="s">
        <v>400</v>
      </c>
      <c r="C242" s="342">
        <v>49791</v>
      </c>
      <c r="D242" s="343">
        <v>42360.00000299768</v>
      </c>
      <c r="E242" s="343">
        <v>43456.00000299768</v>
      </c>
      <c r="F242" s="344">
        <v>800000000</v>
      </c>
      <c r="G242" s="344">
        <v>800000000</v>
      </c>
      <c r="H242" s="341">
        <v>107.2</v>
      </c>
      <c r="I242" s="341">
        <v>79</v>
      </c>
      <c r="J242" s="341">
        <f>VLOOKUP(4979,收盤價!A:C,3,0)</f>
        <v>75.3</v>
      </c>
      <c r="K242" s="341">
        <v>1266</v>
      </c>
      <c r="L242" s="341">
        <v>100</v>
      </c>
      <c r="M242" s="354">
        <v>-6.7199999999999996E-2</v>
      </c>
    </row>
    <row r="243" spans="1:13">
      <c r="A243" s="342" t="s">
        <v>2827</v>
      </c>
      <c r="B243" s="342" t="s">
        <v>1633</v>
      </c>
      <c r="C243" s="342">
        <v>49911</v>
      </c>
      <c r="D243" s="343">
        <v>42137.00000299768</v>
      </c>
      <c r="E243" s="343">
        <v>43233.00000299768</v>
      </c>
      <c r="F243" s="344">
        <v>300000000</v>
      </c>
      <c r="G243" s="344">
        <v>285300000</v>
      </c>
      <c r="H243" s="341">
        <v>125</v>
      </c>
      <c r="I243" s="341">
        <v>65.099999999999994</v>
      </c>
      <c r="J243" s="341">
        <f>VLOOKUP(4991,收盤價!A:C,3,0)</f>
        <v>72</v>
      </c>
      <c r="K243" s="341">
        <v>1536</v>
      </c>
      <c r="L243" s="341">
        <v>111.5136</v>
      </c>
      <c r="M243" s="354">
        <v>-0.1079</v>
      </c>
    </row>
    <row r="244" spans="1:13">
      <c r="A244" s="342" t="s">
        <v>2827</v>
      </c>
      <c r="B244" s="342" t="s">
        <v>1633</v>
      </c>
      <c r="C244" s="342">
        <v>49912</v>
      </c>
      <c r="D244" s="343">
        <v>42138.00000299768</v>
      </c>
      <c r="E244" s="343">
        <v>43234.00000299768</v>
      </c>
      <c r="F244" s="344">
        <v>300000000</v>
      </c>
      <c r="G244" s="344">
        <v>247800000</v>
      </c>
      <c r="H244" s="341">
        <v>116.9</v>
      </c>
      <c r="I244" s="341">
        <v>66.7</v>
      </c>
      <c r="J244" s="341">
        <f>VLOOKUP(4991,收盤價!A:C,3,0)</f>
        <v>72</v>
      </c>
      <c r="K244" s="341">
        <v>1499</v>
      </c>
      <c r="L244" s="341">
        <v>108.8274</v>
      </c>
      <c r="M244" s="354">
        <v>-6.9099999999999995E-2</v>
      </c>
    </row>
    <row r="245" spans="1:13">
      <c r="A245" s="342" t="s">
        <v>2828</v>
      </c>
      <c r="B245" s="342" t="s">
        <v>2322</v>
      </c>
      <c r="C245" s="342">
        <v>49951</v>
      </c>
      <c r="D245" s="343">
        <v>42373.00000299768</v>
      </c>
      <c r="E245" s="343">
        <v>43469.00000299768</v>
      </c>
      <c r="F245" s="344">
        <v>320000000</v>
      </c>
      <c r="G245" s="344">
        <v>320000000</v>
      </c>
    </row>
    <row r="246" spans="1:13">
      <c r="A246" s="342" t="s">
        <v>2829</v>
      </c>
      <c r="B246" s="342" t="s">
        <v>2387</v>
      </c>
      <c r="C246" s="342">
        <v>52136</v>
      </c>
      <c r="D246" s="343">
        <v>42328.00000299768</v>
      </c>
      <c r="E246" s="343">
        <v>43424.00000299768</v>
      </c>
      <c r="F246" s="344">
        <v>500000000</v>
      </c>
      <c r="G246" s="344">
        <v>500000000</v>
      </c>
      <c r="H246" s="341">
        <v>107.5</v>
      </c>
      <c r="I246" s="341">
        <v>14.7</v>
      </c>
      <c r="J246" s="341">
        <f>VLOOKUP(5213,收盤價!A:C,3,0)</f>
        <v>14.8</v>
      </c>
      <c r="K246" s="341">
        <v>6803</v>
      </c>
      <c r="L246" s="341">
        <v>100.00409999999999</v>
      </c>
      <c r="M246" s="354">
        <v>-6.9699999999999998E-2</v>
      </c>
    </row>
    <row r="247" spans="1:13">
      <c r="A247" s="342" t="s">
        <v>2829</v>
      </c>
      <c r="B247" s="342" t="s">
        <v>2387</v>
      </c>
      <c r="C247" s="342">
        <v>52135</v>
      </c>
      <c r="D247" s="343">
        <v>41736.000002997687</v>
      </c>
      <c r="E247" s="343">
        <v>42832.00000299768</v>
      </c>
      <c r="F247" s="344">
        <v>400000000</v>
      </c>
      <c r="G247" s="344">
        <v>400000000</v>
      </c>
      <c r="H247" s="341">
        <v>102.5</v>
      </c>
      <c r="I247" s="341">
        <v>19.61</v>
      </c>
      <c r="J247" s="341">
        <f>VLOOKUP(5213,收盤價!A:C,3,0)</f>
        <v>14.8</v>
      </c>
      <c r="K247" s="341">
        <v>5099</v>
      </c>
      <c r="L247" s="341">
        <v>100</v>
      </c>
      <c r="M247" s="354">
        <v>-2.4400000000000002E-2</v>
      </c>
    </row>
    <row r="248" spans="1:13">
      <c r="A248" s="342" t="s">
        <v>2829</v>
      </c>
      <c r="B248" s="342" t="s">
        <v>2387</v>
      </c>
      <c r="C248" s="342">
        <v>52134</v>
      </c>
      <c r="D248" s="343">
        <v>41446.000002997687</v>
      </c>
      <c r="E248" s="343">
        <v>42542.00000299768</v>
      </c>
      <c r="F248" s="344">
        <v>100000000</v>
      </c>
      <c r="G248" s="344">
        <v>17900000</v>
      </c>
      <c r="H248" s="341">
        <v>99.1</v>
      </c>
      <c r="I248" s="341">
        <v>21.3</v>
      </c>
      <c r="J248" s="341">
        <f>VLOOKUP(5213,收盤價!A:C,3,0)</f>
        <v>14.8</v>
      </c>
      <c r="K248" s="341">
        <v>4695</v>
      </c>
      <c r="L248" s="341">
        <v>100</v>
      </c>
      <c r="M248" s="354">
        <v>9.1000000000000004E-3</v>
      </c>
    </row>
    <row r="249" spans="1:13">
      <c r="A249" s="342" t="s">
        <v>2829</v>
      </c>
      <c r="B249" s="342" t="s">
        <v>2387</v>
      </c>
      <c r="C249" s="342">
        <v>52133</v>
      </c>
      <c r="D249" s="343">
        <v>41445.000002997687</v>
      </c>
      <c r="E249" s="343">
        <v>42541.00000299768</v>
      </c>
      <c r="F249" s="344">
        <v>400000000</v>
      </c>
      <c r="G249" s="344">
        <v>182400000</v>
      </c>
      <c r="H249" s="341">
        <v>99.05</v>
      </c>
      <c r="I249" s="341">
        <v>21.2</v>
      </c>
      <c r="J249" s="341">
        <f>VLOOKUP(5213,收盤價!A:C,3,0)</f>
        <v>14.8</v>
      </c>
      <c r="K249" s="341">
        <v>4717</v>
      </c>
      <c r="L249" s="341">
        <v>100</v>
      </c>
      <c r="M249" s="354">
        <v>9.5999999999999992E-3</v>
      </c>
    </row>
    <row r="250" spans="1:13">
      <c r="A250" s="342" t="s">
        <v>2830</v>
      </c>
      <c r="B250" s="342" t="s">
        <v>2831</v>
      </c>
      <c r="C250" s="342">
        <v>52151</v>
      </c>
      <c r="D250" s="343">
        <v>42164.00000299768</v>
      </c>
      <c r="E250" s="343">
        <v>43260.00000299768</v>
      </c>
      <c r="F250" s="344">
        <v>150000000</v>
      </c>
      <c r="G250" s="344">
        <v>150000000</v>
      </c>
      <c r="H250" s="341">
        <v>113</v>
      </c>
      <c r="I250" s="341">
        <v>41.6</v>
      </c>
      <c r="J250" s="341">
        <f>VLOOKUP(5215,收盤價!A:C,3,0)</f>
        <v>40.6</v>
      </c>
      <c r="K250" s="341">
        <v>2404</v>
      </c>
      <c r="L250" s="341">
        <v>100</v>
      </c>
      <c r="M250" s="354">
        <v>-0.115</v>
      </c>
    </row>
    <row r="251" spans="1:13">
      <c r="A251" s="342" t="s">
        <v>2832</v>
      </c>
      <c r="B251" s="342" t="s">
        <v>408</v>
      </c>
      <c r="C251" s="342">
        <v>52302</v>
      </c>
      <c r="D251" s="343">
        <v>42304.00000299768</v>
      </c>
      <c r="E251" s="343">
        <v>43400.00000299768</v>
      </c>
      <c r="F251" s="344">
        <v>200000000</v>
      </c>
      <c r="G251" s="344">
        <v>200000000</v>
      </c>
      <c r="H251" s="341">
        <v>106.7</v>
      </c>
      <c r="I251" s="341">
        <v>56</v>
      </c>
      <c r="J251" s="341">
        <f>VLOOKUP(5230,收盤價!A:C,3,0)</f>
        <v>50.3</v>
      </c>
      <c r="K251" s="341">
        <v>1786</v>
      </c>
      <c r="L251" s="341">
        <v>100</v>
      </c>
      <c r="M251" s="354">
        <v>-6.2799999999999995E-2</v>
      </c>
    </row>
    <row r="252" spans="1:13">
      <c r="A252" s="342" t="s">
        <v>2832</v>
      </c>
      <c r="B252" s="342" t="s">
        <v>408</v>
      </c>
      <c r="C252" s="342">
        <v>52301</v>
      </c>
      <c r="D252" s="343">
        <v>41487.000002997687</v>
      </c>
      <c r="E252" s="343">
        <v>42583.00000299768</v>
      </c>
      <c r="F252" s="344">
        <v>230000000</v>
      </c>
      <c r="G252" s="344">
        <v>93600000</v>
      </c>
      <c r="H252" s="341">
        <v>101.5</v>
      </c>
      <c r="I252" s="341">
        <v>66.87</v>
      </c>
      <c r="J252" s="341">
        <f>VLOOKUP(5230,收盤價!A:C,3,0)</f>
        <v>50.3</v>
      </c>
      <c r="K252" s="341">
        <v>1495</v>
      </c>
      <c r="L252" s="341">
        <v>100</v>
      </c>
      <c r="M252" s="354">
        <v>-1.4800000000000001E-2</v>
      </c>
    </row>
    <row r="253" spans="1:13">
      <c r="A253" s="342" t="s">
        <v>2833</v>
      </c>
      <c r="B253" s="342" t="s">
        <v>2834</v>
      </c>
      <c r="C253" s="342">
        <v>52591</v>
      </c>
      <c r="D253" s="343">
        <v>42171.00000299768</v>
      </c>
      <c r="E253" s="343">
        <v>43267.00000299768</v>
      </c>
      <c r="F253" s="344">
        <v>300000000</v>
      </c>
      <c r="G253" s="344">
        <v>300000000</v>
      </c>
      <c r="H253" s="341">
        <v>99</v>
      </c>
      <c r="I253" s="341">
        <v>20.69</v>
      </c>
      <c r="J253" s="341">
        <f>VLOOKUP(5259,收盤價!A:C,3,0)</f>
        <v>6.9</v>
      </c>
      <c r="K253" s="341">
        <v>4833</v>
      </c>
      <c r="L253" s="341">
        <v>100</v>
      </c>
      <c r="M253" s="354">
        <v>1.01E-2</v>
      </c>
    </row>
    <row r="254" spans="1:13">
      <c r="A254" s="342" t="s">
        <v>2835</v>
      </c>
      <c r="B254" s="342" t="s">
        <v>1649</v>
      </c>
      <c r="C254" s="342">
        <v>52841</v>
      </c>
      <c r="D254" s="343">
        <v>42300.00000299768</v>
      </c>
      <c r="E254" s="343">
        <v>43396.00000299768</v>
      </c>
      <c r="F254" s="344">
        <v>200000000</v>
      </c>
      <c r="G254" s="344">
        <v>200000000</v>
      </c>
      <c r="H254" s="341">
        <v>123</v>
      </c>
      <c r="I254" s="341">
        <v>58.9</v>
      </c>
      <c r="J254" s="341">
        <f>VLOOKUP(5284,收盤價!A:C,3,0)</f>
        <v>70.900000000000006</v>
      </c>
      <c r="K254" s="341">
        <v>1698</v>
      </c>
      <c r="L254" s="341">
        <v>118.69020000000002</v>
      </c>
      <c r="M254" s="354">
        <v>-3.5000000000000003E-2</v>
      </c>
    </row>
    <row r="255" spans="1:13">
      <c r="A255" s="342" t="s">
        <v>2836</v>
      </c>
      <c r="B255" s="342" t="s">
        <v>2837</v>
      </c>
      <c r="C255" s="342">
        <v>52851</v>
      </c>
      <c r="D255" s="343">
        <v>41891.000002997687</v>
      </c>
      <c r="E255" s="343">
        <v>43717.00000299768</v>
      </c>
      <c r="F255" s="344">
        <v>720000000</v>
      </c>
      <c r="G255" s="344">
        <v>720000000</v>
      </c>
      <c r="H255" s="341">
        <v>96.5</v>
      </c>
      <c r="I255" s="341">
        <v>42.66</v>
      </c>
      <c r="J255" s="341">
        <f>VLOOKUP(5285,收盤價!A:C,3,0)</f>
        <v>29.8</v>
      </c>
      <c r="K255" s="341">
        <v>2344</v>
      </c>
      <c r="L255" s="341">
        <v>100</v>
      </c>
      <c r="M255" s="354">
        <v>3.6299999999999999E-2</v>
      </c>
    </row>
    <row r="256" spans="1:13">
      <c r="A256" s="342" t="s">
        <v>2838</v>
      </c>
      <c r="B256" s="342" t="s">
        <v>2839</v>
      </c>
      <c r="C256" s="342">
        <v>52891</v>
      </c>
      <c r="D256" s="343">
        <v>42292.00000299768</v>
      </c>
      <c r="E256" s="343">
        <v>43388.00000299768</v>
      </c>
      <c r="F256" s="344">
        <v>500000000</v>
      </c>
      <c r="G256" s="344">
        <v>500000000</v>
      </c>
      <c r="H256" s="341">
        <v>109.5</v>
      </c>
      <c r="I256" s="341">
        <v>100.8</v>
      </c>
      <c r="J256" s="341">
        <f>VLOOKUP(5289,收盤價!A:C,3,0)</f>
        <v>91</v>
      </c>
      <c r="K256" s="341">
        <v>992</v>
      </c>
      <c r="L256" s="341">
        <v>100</v>
      </c>
      <c r="M256" s="354">
        <v>-8.6800000000000002E-2</v>
      </c>
    </row>
    <row r="257" spans="1:13">
      <c r="A257" s="342" t="s">
        <v>2840</v>
      </c>
      <c r="B257" s="342" t="s">
        <v>2342</v>
      </c>
      <c r="C257" s="342">
        <v>53093</v>
      </c>
      <c r="D257" s="343">
        <v>42016.00000299768</v>
      </c>
      <c r="E257" s="343">
        <v>43112.00000299768</v>
      </c>
      <c r="F257" s="344">
        <v>400000000</v>
      </c>
      <c r="G257" s="344">
        <v>310200000</v>
      </c>
      <c r="H257" s="341">
        <v>132</v>
      </c>
      <c r="I257" s="341">
        <v>14.85</v>
      </c>
      <c r="J257" s="341">
        <f>VLOOKUP(5309,收盤價!A:C,3,0)</f>
        <v>19.7</v>
      </c>
      <c r="K257" s="341">
        <v>6734</v>
      </c>
      <c r="L257" s="341">
        <v>128.61940000000001</v>
      </c>
      <c r="M257" s="354">
        <v>-2.5600000000000001E-2</v>
      </c>
    </row>
    <row r="258" spans="1:13">
      <c r="A258" s="342" t="s">
        <v>2841</v>
      </c>
      <c r="B258" s="342" t="s">
        <v>2842</v>
      </c>
      <c r="C258" s="342">
        <v>53885</v>
      </c>
      <c r="D258" s="343">
        <v>41152.000002997687</v>
      </c>
      <c r="E258" s="343">
        <v>42978.00000299768</v>
      </c>
      <c r="F258" s="344">
        <v>600000000</v>
      </c>
      <c r="G258" s="344">
        <v>47000000</v>
      </c>
      <c r="H258" s="341">
        <v>199</v>
      </c>
      <c r="I258" s="341">
        <v>42.41</v>
      </c>
      <c r="J258" s="341">
        <f>VLOOKUP(5388,收盤價!A:C,3,0)</f>
        <v>85.2</v>
      </c>
      <c r="K258" s="341">
        <v>2358</v>
      </c>
      <c r="L258" s="341">
        <v>197.83620000000002</v>
      </c>
      <c r="M258" s="354">
        <v>-5.7999999999999996E-3</v>
      </c>
    </row>
    <row r="259" spans="1:13">
      <c r="A259" s="342" t="s">
        <v>2841</v>
      </c>
      <c r="B259" s="342" t="s">
        <v>2842</v>
      </c>
      <c r="C259" s="342">
        <v>53884</v>
      </c>
      <c r="D259" s="343">
        <v>40785.000002997687</v>
      </c>
      <c r="E259" s="343">
        <v>42612.00000299768</v>
      </c>
      <c r="F259" s="344">
        <v>600000000</v>
      </c>
      <c r="G259" s="344">
        <v>20200000</v>
      </c>
      <c r="H259" s="341">
        <v>205</v>
      </c>
      <c r="I259" s="341">
        <v>32.950000000000003</v>
      </c>
      <c r="J259" s="341">
        <f>VLOOKUP(5388,收盤價!A:C,3,0)</f>
        <v>85.2</v>
      </c>
      <c r="K259" s="341">
        <v>3035</v>
      </c>
      <c r="L259" s="341">
        <v>254.63650000000004</v>
      </c>
      <c r="M259" s="354">
        <v>0.24210000000000001</v>
      </c>
    </row>
    <row r="260" spans="1:13">
      <c r="A260" s="342" t="s">
        <v>2843</v>
      </c>
      <c r="B260" s="342" t="s">
        <v>2324</v>
      </c>
      <c r="C260" s="342">
        <v>53924</v>
      </c>
      <c r="D260" s="343">
        <v>42305.00000299768</v>
      </c>
      <c r="E260" s="343">
        <v>44132.00000299768</v>
      </c>
      <c r="F260" s="344">
        <v>1500000000</v>
      </c>
      <c r="G260" s="344">
        <v>1500000000</v>
      </c>
      <c r="H260" s="341">
        <v>101.4</v>
      </c>
      <c r="I260" s="341">
        <v>54.2</v>
      </c>
      <c r="J260" s="341">
        <f>VLOOKUP(5392,收盤價!A:C,3,0)</f>
        <v>52</v>
      </c>
      <c r="K260" s="341">
        <v>1845</v>
      </c>
      <c r="L260" s="341">
        <v>100</v>
      </c>
      <c r="M260" s="354">
        <v>-1.38E-2</v>
      </c>
    </row>
    <row r="261" spans="1:13">
      <c r="A261" s="342" t="s">
        <v>2844</v>
      </c>
      <c r="B261" s="342" t="s">
        <v>2191</v>
      </c>
      <c r="C261" s="342">
        <v>54754</v>
      </c>
      <c r="D261" s="343">
        <v>41061.000002997687</v>
      </c>
      <c r="E261" s="343">
        <v>42522.00000299768</v>
      </c>
      <c r="F261" s="344">
        <v>200000000</v>
      </c>
      <c r="G261" s="344">
        <v>200000000</v>
      </c>
      <c r="H261" s="341">
        <v>104.15</v>
      </c>
      <c r="I261" s="341">
        <v>9.6300000000000008</v>
      </c>
      <c r="J261" s="341">
        <f>VLOOKUP(5475,收盤價!A:C,3,0)</f>
        <v>3.45</v>
      </c>
      <c r="K261" s="341">
        <v>10384</v>
      </c>
      <c r="L261" s="341">
        <v>100</v>
      </c>
      <c r="M261" s="354">
        <v>-3.9800000000000002E-2</v>
      </c>
    </row>
    <row r="262" spans="1:13">
      <c r="A262" s="342" t="s">
        <v>2844</v>
      </c>
      <c r="B262" s="342" t="s">
        <v>2191</v>
      </c>
      <c r="C262" s="342">
        <v>54759</v>
      </c>
      <c r="D262" s="343">
        <v>42243.00000299768</v>
      </c>
      <c r="E262" s="343">
        <v>43339.00000299768</v>
      </c>
      <c r="F262" s="344">
        <v>200000000</v>
      </c>
      <c r="G262" s="344">
        <v>200000000</v>
      </c>
      <c r="H262" s="341">
        <v>103.35</v>
      </c>
      <c r="I262" s="341">
        <v>4.8</v>
      </c>
      <c r="J262" s="341">
        <f>VLOOKUP(5475,收盤價!A:C,3,0)</f>
        <v>3.45</v>
      </c>
      <c r="K262" s="341">
        <v>20833</v>
      </c>
      <c r="L262" s="341">
        <v>100</v>
      </c>
      <c r="M262" s="354">
        <v>-3.2399999999999998E-2</v>
      </c>
    </row>
    <row r="263" spans="1:13">
      <c r="A263" s="342" t="s">
        <v>2844</v>
      </c>
      <c r="B263" s="342" t="s">
        <v>2191</v>
      </c>
      <c r="C263" s="342">
        <v>54757</v>
      </c>
      <c r="D263" s="343">
        <v>41694.000002997687</v>
      </c>
      <c r="E263" s="343">
        <v>42790.00000299768</v>
      </c>
      <c r="F263" s="344">
        <v>200000000</v>
      </c>
      <c r="G263" s="344">
        <v>98200000</v>
      </c>
      <c r="H263" s="341">
        <v>102.05</v>
      </c>
      <c r="I263" s="341">
        <v>7.5</v>
      </c>
      <c r="J263" s="341">
        <f>VLOOKUP(5475,收盤價!A:C,3,0)</f>
        <v>3.45</v>
      </c>
      <c r="K263" s="341">
        <v>13333</v>
      </c>
      <c r="L263" s="341">
        <v>100</v>
      </c>
      <c r="M263" s="354">
        <v>-2.01E-2</v>
      </c>
    </row>
    <row r="264" spans="1:13">
      <c r="A264" s="342" t="s">
        <v>2844</v>
      </c>
      <c r="B264" s="342" t="s">
        <v>2191</v>
      </c>
      <c r="C264" s="342">
        <v>54755</v>
      </c>
      <c r="D264" s="343">
        <v>41061.000002997687</v>
      </c>
      <c r="E264" s="343">
        <v>42887.00000299768</v>
      </c>
      <c r="F264" s="344">
        <v>200000000</v>
      </c>
      <c r="G264" s="344">
        <v>3800000</v>
      </c>
      <c r="H264" s="341">
        <v>101.2</v>
      </c>
      <c r="I264" s="341">
        <v>9.6300000000000008</v>
      </c>
      <c r="J264" s="341">
        <f>VLOOKUP(5475,收盤價!A:C,3,0)</f>
        <v>3.45</v>
      </c>
      <c r="K264" s="341">
        <v>10384</v>
      </c>
      <c r="L264" s="341">
        <v>100</v>
      </c>
      <c r="M264" s="354">
        <v>-1.1900000000000001E-2</v>
      </c>
    </row>
    <row r="265" spans="1:13">
      <c r="A265" s="342" t="s">
        <v>2844</v>
      </c>
      <c r="B265" s="342" t="s">
        <v>2191</v>
      </c>
      <c r="C265" s="342">
        <v>54758</v>
      </c>
      <c r="D265" s="343">
        <v>42039.00000299768</v>
      </c>
      <c r="E265" s="343">
        <v>43135.00000299768</v>
      </c>
      <c r="F265" s="344">
        <v>200000000</v>
      </c>
      <c r="G265" s="344">
        <v>200000000</v>
      </c>
      <c r="H265" s="341">
        <v>100.6</v>
      </c>
      <c r="I265" s="341">
        <v>8.15</v>
      </c>
      <c r="J265" s="341">
        <f>VLOOKUP(5475,收盤價!A:C,3,0)</f>
        <v>3.45</v>
      </c>
      <c r="K265" s="341">
        <v>12270</v>
      </c>
      <c r="L265" s="341">
        <v>100</v>
      </c>
      <c r="M265" s="354">
        <v>-6.0000000000000001E-3</v>
      </c>
    </row>
    <row r="266" spans="1:13">
      <c r="A266" s="342" t="s">
        <v>2845</v>
      </c>
      <c r="B266" s="342" t="s">
        <v>2194</v>
      </c>
      <c r="C266" s="342">
        <v>54913</v>
      </c>
      <c r="D266" s="343">
        <v>41634.000002997687</v>
      </c>
      <c r="E266" s="343">
        <v>42730.00000299768</v>
      </c>
      <c r="F266" s="344">
        <v>300000000</v>
      </c>
      <c r="G266" s="344">
        <v>57700000</v>
      </c>
      <c r="H266" s="341">
        <v>99.9</v>
      </c>
      <c r="I266" s="341">
        <v>10.1</v>
      </c>
      <c r="J266" s="341">
        <f>VLOOKUP(5491,收盤價!A:C,3,0)</f>
        <v>7.52</v>
      </c>
      <c r="K266" s="341">
        <v>9901</v>
      </c>
      <c r="L266" s="341">
        <v>100</v>
      </c>
      <c r="M266" s="354">
        <v>1E-3</v>
      </c>
    </row>
    <row r="267" spans="1:13">
      <c r="A267" s="342" t="s">
        <v>2846</v>
      </c>
      <c r="B267" s="342" t="s">
        <v>2847</v>
      </c>
      <c r="C267" s="342">
        <v>55191</v>
      </c>
      <c r="D267" s="343">
        <v>42263.00000299768</v>
      </c>
      <c r="E267" s="343">
        <v>43359.00000299768</v>
      </c>
      <c r="F267" s="344">
        <v>200000000</v>
      </c>
      <c r="G267" s="344">
        <v>200000000</v>
      </c>
      <c r="H267" s="341">
        <v>102.5</v>
      </c>
      <c r="I267" s="341">
        <v>14.15</v>
      </c>
      <c r="J267" s="341">
        <f>VLOOKUP(5519,收盤價!A:C,3,0)</f>
        <v>13.55</v>
      </c>
      <c r="K267" s="341">
        <v>7067</v>
      </c>
      <c r="L267" s="341">
        <v>100</v>
      </c>
      <c r="M267" s="354">
        <v>-2.4400000000000002E-2</v>
      </c>
    </row>
    <row r="268" spans="1:13">
      <c r="A268" s="342" t="s">
        <v>2846</v>
      </c>
      <c r="B268" s="342" t="s">
        <v>2847</v>
      </c>
      <c r="C268" s="342">
        <v>55192</v>
      </c>
      <c r="D268" s="343">
        <v>42264.00000299768</v>
      </c>
      <c r="E268" s="343">
        <v>43360.00000299768</v>
      </c>
      <c r="F268" s="344">
        <v>100000000</v>
      </c>
      <c r="G268" s="344">
        <v>99100000</v>
      </c>
      <c r="H268" s="341">
        <v>97.5</v>
      </c>
      <c r="I268" s="341">
        <v>14.18</v>
      </c>
      <c r="J268" s="341">
        <f>VLOOKUP(5519,收盤價!A:C,3,0)</f>
        <v>13.55</v>
      </c>
      <c r="K268" s="341">
        <v>7052</v>
      </c>
      <c r="L268" s="341">
        <v>100</v>
      </c>
      <c r="M268" s="354">
        <v>2.5600000000000001E-2</v>
      </c>
    </row>
    <row r="269" spans="1:13">
      <c r="A269" s="342" t="s">
        <v>2848</v>
      </c>
      <c r="B269" s="342" t="s">
        <v>2849</v>
      </c>
      <c r="C269" s="342">
        <v>55226</v>
      </c>
      <c r="D269" s="343">
        <v>40977.000002997687</v>
      </c>
      <c r="E269" s="343">
        <v>42803.00000299768</v>
      </c>
      <c r="F269" s="344">
        <v>1200000000</v>
      </c>
      <c r="G269" s="344">
        <v>900000</v>
      </c>
      <c r="H269" s="341">
        <v>100</v>
      </c>
      <c r="I269" s="341">
        <v>46.49</v>
      </c>
      <c r="J269" s="341">
        <f>VLOOKUP(5522,收盤價!A:C,3,0)</f>
        <v>34.75</v>
      </c>
      <c r="K269" s="341">
        <v>2151</v>
      </c>
      <c r="L269" s="341">
        <v>100</v>
      </c>
      <c r="M269" s="355">
        <v>0</v>
      </c>
    </row>
    <row r="270" spans="1:13">
      <c r="A270" s="342" t="s">
        <v>2850</v>
      </c>
      <c r="B270" s="342" t="s">
        <v>2851</v>
      </c>
      <c r="C270" s="342" t="s">
        <v>2852</v>
      </c>
      <c r="D270" s="343">
        <v>41509.000002997687</v>
      </c>
      <c r="E270" s="343">
        <v>42970.00000299768</v>
      </c>
      <c r="F270" s="344">
        <v>400000000</v>
      </c>
      <c r="G270" s="344">
        <v>400000000</v>
      </c>
      <c r="H270" s="341">
        <v>100</v>
      </c>
      <c r="I270" s="341">
        <v>46.49</v>
      </c>
      <c r="J270" s="341">
        <f>VLOOKUP(5523,收盤價!A:C,3,0)</f>
        <v>7.64</v>
      </c>
      <c r="K270" s="341">
        <v>2151</v>
      </c>
      <c r="L270" s="341">
        <v>100</v>
      </c>
      <c r="M270" s="355">
        <v>0</v>
      </c>
    </row>
    <row r="271" spans="1:13">
      <c r="A271" s="342" t="s">
        <v>2853</v>
      </c>
      <c r="B271" s="342" t="s">
        <v>2241</v>
      </c>
      <c r="C271" s="342">
        <v>55291</v>
      </c>
      <c r="D271" s="343">
        <v>42027.00000299768</v>
      </c>
      <c r="E271" s="343">
        <v>43123.00000299768</v>
      </c>
      <c r="F271" s="344">
        <v>400000000</v>
      </c>
      <c r="G271" s="344">
        <v>400000000</v>
      </c>
      <c r="H271" s="341">
        <v>97.8</v>
      </c>
      <c r="I271" s="341">
        <v>14.8</v>
      </c>
      <c r="J271" s="341">
        <f>VLOOKUP(5529,收盤價!A:C,3,0)</f>
        <v>8.1199999999999992</v>
      </c>
      <c r="K271" s="341">
        <v>6757</v>
      </c>
      <c r="L271" s="341">
        <v>100</v>
      </c>
      <c r="M271" s="354">
        <v>2.2499999999999999E-2</v>
      </c>
    </row>
    <row r="272" spans="1:13">
      <c r="A272" s="342" t="s">
        <v>2854</v>
      </c>
      <c r="B272" s="342" t="s">
        <v>2855</v>
      </c>
      <c r="C272" s="342">
        <v>55343</v>
      </c>
      <c r="D272" s="343">
        <v>40708.000002997687</v>
      </c>
      <c r="E272" s="343">
        <v>42535.00000299768</v>
      </c>
      <c r="F272" s="344">
        <v>800000000</v>
      </c>
      <c r="G272" s="344">
        <v>699200000</v>
      </c>
      <c r="H272" s="341">
        <v>107.45</v>
      </c>
      <c r="I272" s="341">
        <v>43.29</v>
      </c>
      <c r="J272" s="341">
        <f>VLOOKUP(5534,收盤價!A:C,3,0)</f>
        <v>44.9</v>
      </c>
      <c r="K272" s="341">
        <v>2310</v>
      </c>
      <c r="L272" s="341">
        <v>104.643</v>
      </c>
      <c r="M272" s="354">
        <v>-2.6100000000000002E-2</v>
      </c>
    </row>
    <row r="273" spans="1:13">
      <c r="A273" s="342" t="s">
        <v>2856</v>
      </c>
      <c r="B273" s="342" t="s">
        <v>2857</v>
      </c>
      <c r="C273" s="342">
        <v>56084</v>
      </c>
      <c r="D273" s="343">
        <v>42046.00000299768</v>
      </c>
      <c r="E273" s="343">
        <v>43142.00000299768</v>
      </c>
      <c r="F273" s="344">
        <v>400000000</v>
      </c>
      <c r="G273" s="344">
        <v>400000000</v>
      </c>
      <c r="H273" s="341">
        <v>101</v>
      </c>
      <c r="I273" s="341">
        <v>16.98</v>
      </c>
      <c r="J273" s="341">
        <f>VLOOKUP(5608,收盤價!A:C,3,0)</f>
        <v>12.05</v>
      </c>
      <c r="K273" s="341">
        <v>5889</v>
      </c>
      <c r="L273" s="341">
        <v>100</v>
      </c>
      <c r="M273" s="354">
        <v>-9.9000000000000008E-3</v>
      </c>
    </row>
    <row r="274" spans="1:13">
      <c r="A274" s="342" t="s">
        <v>2856</v>
      </c>
      <c r="B274" s="342" t="s">
        <v>2857</v>
      </c>
      <c r="C274" s="342">
        <v>56085</v>
      </c>
      <c r="D274" s="343">
        <v>42047.00000299768</v>
      </c>
      <c r="E274" s="343">
        <v>43143.00000299768</v>
      </c>
      <c r="F274" s="344">
        <v>250000000</v>
      </c>
      <c r="G274" s="344">
        <v>249200000</v>
      </c>
      <c r="H274" s="341">
        <v>97</v>
      </c>
      <c r="I274" s="341">
        <v>16.98</v>
      </c>
      <c r="J274" s="341">
        <f>VLOOKUP(5608,收盤價!A:C,3,0)</f>
        <v>12.05</v>
      </c>
      <c r="K274" s="341">
        <v>5889</v>
      </c>
      <c r="L274" s="341">
        <v>100</v>
      </c>
      <c r="M274" s="354">
        <v>3.09E-2</v>
      </c>
    </row>
    <row r="275" spans="1:13">
      <c r="A275" s="342" t="s">
        <v>2858</v>
      </c>
      <c r="B275" s="342" t="s">
        <v>1700</v>
      </c>
      <c r="C275" s="342">
        <v>59054</v>
      </c>
      <c r="D275" s="343">
        <v>40805.000002997687</v>
      </c>
      <c r="E275" s="343">
        <v>42632.00000299768</v>
      </c>
      <c r="F275" s="344">
        <v>1000000000</v>
      </c>
      <c r="G275" s="344">
        <v>725600000</v>
      </c>
      <c r="H275" s="341">
        <v>104</v>
      </c>
      <c r="I275" s="341">
        <v>11.23</v>
      </c>
      <c r="J275" s="341">
        <f>VLOOKUP(5905,收盤價!A:C,3,0)</f>
        <v>8.65</v>
      </c>
      <c r="K275" s="341">
        <v>8905</v>
      </c>
      <c r="L275" s="341">
        <v>100</v>
      </c>
      <c r="M275" s="354">
        <v>-3.85E-2</v>
      </c>
    </row>
    <row r="276" spans="1:13">
      <c r="A276" s="342" t="s">
        <v>2859</v>
      </c>
      <c r="B276" s="342" t="s">
        <v>2307</v>
      </c>
      <c r="C276" s="342">
        <v>61053</v>
      </c>
      <c r="D276" s="343">
        <v>41920.000002997687</v>
      </c>
      <c r="E276" s="343">
        <v>43016.00000299768</v>
      </c>
      <c r="F276" s="344">
        <v>600000000</v>
      </c>
      <c r="G276" s="344">
        <v>441900000</v>
      </c>
      <c r="H276" s="341">
        <v>115</v>
      </c>
      <c r="I276" s="341">
        <v>38.200000000000003</v>
      </c>
      <c r="J276" s="341">
        <f>VLOOKUP(6105,收盤價!A:C,3,0)</f>
        <v>41.7</v>
      </c>
      <c r="K276" s="341">
        <v>2618</v>
      </c>
      <c r="L276" s="341">
        <v>108.9088</v>
      </c>
      <c r="M276" s="354">
        <v>-5.2999999999999999E-2</v>
      </c>
    </row>
    <row r="277" spans="1:13">
      <c r="A277" s="342" t="s">
        <v>2860</v>
      </c>
      <c r="B277" s="342" t="s">
        <v>2348</v>
      </c>
      <c r="C277" s="342">
        <v>61071</v>
      </c>
      <c r="D277" s="343">
        <v>42136.00000299768</v>
      </c>
      <c r="E277" s="343">
        <v>43232.00000299768</v>
      </c>
      <c r="F277" s="344">
        <v>400000000</v>
      </c>
      <c r="G277" s="344">
        <v>400000000</v>
      </c>
      <c r="H277" s="341">
        <v>110</v>
      </c>
      <c r="I277" s="341">
        <v>74.58</v>
      </c>
      <c r="J277" s="341">
        <f>VLOOKUP(6107,收盤價!A:C,3,0)</f>
        <v>74.5</v>
      </c>
      <c r="K277" s="341">
        <v>1341</v>
      </c>
      <c r="L277" s="341">
        <v>100</v>
      </c>
      <c r="M277" s="354">
        <v>-9.0899999999999995E-2</v>
      </c>
    </row>
    <row r="278" spans="1:13">
      <c r="A278" s="342" t="s">
        <v>2861</v>
      </c>
      <c r="B278" s="342" t="s">
        <v>2862</v>
      </c>
      <c r="C278" s="342">
        <v>61153</v>
      </c>
      <c r="D278" s="343">
        <v>41082.000002997687</v>
      </c>
      <c r="E278" s="343">
        <v>42908.00000299768</v>
      </c>
      <c r="F278" s="344">
        <v>800000000</v>
      </c>
      <c r="G278" s="344">
        <v>252300000</v>
      </c>
      <c r="H278" s="341">
        <v>116</v>
      </c>
      <c r="I278" s="341">
        <v>31.25</v>
      </c>
      <c r="J278" s="341">
        <f>VLOOKUP(6115,收盤價!A:C,3,0)</f>
        <v>33.5</v>
      </c>
      <c r="K278" s="341">
        <v>3200</v>
      </c>
      <c r="L278" s="341">
        <v>108.32</v>
      </c>
      <c r="M278" s="354">
        <v>-6.6199999999999995E-2</v>
      </c>
    </row>
    <row r="279" spans="1:13">
      <c r="A279" s="342" t="s">
        <v>2863</v>
      </c>
      <c r="B279" s="342" t="s">
        <v>2350</v>
      </c>
      <c r="C279" s="342">
        <v>61274</v>
      </c>
      <c r="D279" s="343">
        <v>42165.00000299768</v>
      </c>
      <c r="E279" s="343">
        <v>43261.00000299768</v>
      </c>
      <c r="F279" s="344">
        <v>400000000</v>
      </c>
      <c r="G279" s="344">
        <v>400000000</v>
      </c>
      <c r="H279" s="341">
        <v>101</v>
      </c>
      <c r="I279" s="341">
        <v>16.7</v>
      </c>
      <c r="J279" s="341">
        <f>VLOOKUP(6127,收盤價!A:C,3,0)</f>
        <v>9.1999999999999993</v>
      </c>
      <c r="K279" s="341">
        <v>5988</v>
      </c>
      <c r="L279" s="341">
        <v>100</v>
      </c>
      <c r="M279" s="354">
        <v>-9.9000000000000008E-3</v>
      </c>
    </row>
    <row r="280" spans="1:13">
      <c r="A280" s="342" t="s">
        <v>2864</v>
      </c>
      <c r="B280" s="342" t="s">
        <v>2865</v>
      </c>
      <c r="C280" s="342">
        <v>61312</v>
      </c>
      <c r="D280" s="343">
        <v>41823.000002997687</v>
      </c>
      <c r="E280" s="343">
        <v>42919.00000299768</v>
      </c>
      <c r="F280" s="344">
        <v>200000000</v>
      </c>
      <c r="G280" s="344">
        <v>109700000</v>
      </c>
      <c r="H280" s="341">
        <v>165</v>
      </c>
      <c r="I280" s="341">
        <v>16.399999999999999</v>
      </c>
      <c r="J280" s="341">
        <f>VLOOKUP(6131,收盤價!A:C,3,0)</f>
        <v>10</v>
      </c>
      <c r="K280" s="341">
        <v>6098</v>
      </c>
      <c r="L280" s="341">
        <v>100</v>
      </c>
      <c r="M280" s="354">
        <v>-0.39389999999999997</v>
      </c>
    </row>
    <row r="281" spans="1:13">
      <c r="A281" s="342" t="s">
        <v>2866</v>
      </c>
      <c r="B281" s="342" t="s">
        <v>2197</v>
      </c>
      <c r="C281" s="342">
        <v>61341</v>
      </c>
      <c r="D281" s="343">
        <v>41687.000002997687</v>
      </c>
      <c r="E281" s="343">
        <v>42783.00000299768</v>
      </c>
      <c r="F281" s="344">
        <v>100000000</v>
      </c>
      <c r="G281" s="344">
        <v>100000000</v>
      </c>
      <c r="H281" s="341">
        <v>100</v>
      </c>
      <c r="I281" s="341">
        <v>10.199999999999999</v>
      </c>
      <c r="J281" s="341">
        <f>VLOOKUP(6134,收盤價!A:C,3,0)</f>
        <v>6.58</v>
      </c>
      <c r="K281" s="341">
        <v>9804</v>
      </c>
      <c r="L281" s="341">
        <v>100</v>
      </c>
      <c r="M281" s="355">
        <v>0</v>
      </c>
    </row>
    <row r="282" spans="1:13">
      <c r="A282" s="342" t="s">
        <v>2867</v>
      </c>
      <c r="B282" s="342" t="s">
        <v>2868</v>
      </c>
      <c r="C282" s="342">
        <v>61393</v>
      </c>
      <c r="D282" s="343">
        <v>42236.00000299768</v>
      </c>
      <c r="E282" s="343">
        <v>43332.00000299768</v>
      </c>
      <c r="F282" s="344">
        <v>700000000</v>
      </c>
      <c r="G282" s="344">
        <v>700000000</v>
      </c>
      <c r="H282" s="341">
        <v>105.65</v>
      </c>
      <c r="I282" s="341">
        <v>19</v>
      </c>
      <c r="J282" s="341">
        <f>VLOOKUP(6139,收盤價!A:C,3,0)</f>
        <v>18.149999999999999</v>
      </c>
      <c r="K282" s="341">
        <v>5263</v>
      </c>
      <c r="L282" s="341">
        <v>100</v>
      </c>
      <c r="M282" s="354">
        <v>-5.3499999999999999E-2</v>
      </c>
    </row>
    <row r="283" spans="1:13">
      <c r="A283" s="342" t="s">
        <v>2869</v>
      </c>
      <c r="B283" s="342" t="s">
        <v>455</v>
      </c>
      <c r="C283" s="342">
        <v>61462</v>
      </c>
      <c r="D283" s="343">
        <v>41919.000002997687</v>
      </c>
      <c r="E283" s="343">
        <v>43015.00000299768</v>
      </c>
      <c r="F283" s="344">
        <v>600000000</v>
      </c>
      <c r="G283" s="344">
        <v>82700000</v>
      </c>
      <c r="H283" s="341">
        <v>150</v>
      </c>
      <c r="I283" s="341">
        <v>148.5</v>
      </c>
      <c r="J283" s="341">
        <f>VLOOKUP(6146,收盤價!A:C,3,0)</f>
        <v>207</v>
      </c>
      <c r="K283" s="341">
        <v>673</v>
      </c>
      <c r="L283" s="341">
        <v>140.32050000000001</v>
      </c>
      <c r="M283" s="354">
        <v>-6.4500000000000002E-2</v>
      </c>
    </row>
    <row r="284" spans="1:13">
      <c r="A284" s="342" t="s">
        <v>2870</v>
      </c>
      <c r="B284" s="342" t="s">
        <v>2871</v>
      </c>
      <c r="C284" s="342">
        <v>61534</v>
      </c>
      <c r="D284" s="343">
        <v>41928.000002997687</v>
      </c>
      <c r="E284" s="343">
        <v>43024.00000299768</v>
      </c>
      <c r="F284" s="344">
        <v>1500000000</v>
      </c>
      <c r="G284" s="344">
        <v>1500000000</v>
      </c>
      <c r="H284" s="341">
        <v>97</v>
      </c>
      <c r="I284" s="341">
        <v>45.8</v>
      </c>
      <c r="J284" s="341">
        <f>VLOOKUP(6153,收盤價!A:C,3,0)</f>
        <v>25</v>
      </c>
      <c r="K284" s="341">
        <v>2183</v>
      </c>
      <c r="L284" s="341">
        <v>100</v>
      </c>
      <c r="M284" s="354">
        <v>3.09E-2</v>
      </c>
    </row>
    <row r="285" spans="1:13">
      <c r="A285" s="342" t="s">
        <v>2872</v>
      </c>
      <c r="B285" s="342" t="s">
        <v>2873</v>
      </c>
      <c r="C285" s="342">
        <v>61684</v>
      </c>
      <c r="D285" s="343">
        <v>41849.000002997687</v>
      </c>
      <c r="E285" s="343">
        <v>42945.00000299768</v>
      </c>
      <c r="F285" s="344">
        <v>600000000</v>
      </c>
      <c r="G285" s="344">
        <v>600000000</v>
      </c>
      <c r="H285" s="341">
        <v>100</v>
      </c>
      <c r="I285" s="341">
        <v>20</v>
      </c>
      <c r="J285" s="341">
        <f>VLOOKUP(6168,收盤價!A:C,3,0)</f>
        <v>14.05</v>
      </c>
      <c r="K285" s="341">
        <v>5000</v>
      </c>
      <c r="L285" s="341">
        <v>100</v>
      </c>
      <c r="M285" s="355">
        <v>0</v>
      </c>
    </row>
    <row r="286" spans="1:13">
      <c r="A286" s="342" t="s">
        <v>2874</v>
      </c>
      <c r="B286" s="342" t="s">
        <v>460</v>
      </c>
      <c r="C286" s="342">
        <v>61703</v>
      </c>
      <c r="D286" s="343">
        <v>41305.000002997687</v>
      </c>
      <c r="E286" s="343">
        <v>42400.00000299768</v>
      </c>
      <c r="F286" s="344">
        <v>250000000</v>
      </c>
      <c r="G286" s="344">
        <v>250000000</v>
      </c>
      <c r="H286" s="341">
        <v>99.65</v>
      </c>
      <c r="I286" s="341">
        <v>13.6</v>
      </c>
      <c r="J286" s="341">
        <f>VLOOKUP(6170,收盤價!A:C,3,0)</f>
        <v>10.15</v>
      </c>
      <c r="K286" s="341">
        <v>7353</v>
      </c>
      <c r="L286" s="341">
        <v>100</v>
      </c>
      <c r="M286" s="354">
        <v>3.5000000000000001E-3</v>
      </c>
    </row>
    <row r="287" spans="1:13">
      <c r="A287" s="342" t="s">
        <v>2875</v>
      </c>
      <c r="B287" s="342" t="s">
        <v>2876</v>
      </c>
      <c r="C287" s="342">
        <v>61761</v>
      </c>
      <c r="D287" s="343">
        <v>41663.000002997687</v>
      </c>
      <c r="E287" s="343">
        <v>43489.00000299768</v>
      </c>
      <c r="F287" s="344">
        <v>3000000000</v>
      </c>
      <c r="G287" s="344">
        <v>3000000000</v>
      </c>
      <c r="H287" s="341">
        <v>98.55</v>
      </c>
      <c r="I287" s="341">
        <v>136.59</v>
      </c>
      <c r="J287" s="341">
        <f>VLOOKUP(6176,收盤價!A:C,3,0)</f>
        <v>76.7</v>
      </c>
      <c r="K287" s="341">
        <v>732</v>
      </c>
      <c r="L287" s="341">
        <v>100</v>
      </c>
      <c r="M287" s="354">
        <v>1.47E-2</v>
      </c>
    </row>
    <row r="288" spans="1:13">
      <c r="A288" s="342" t="s">
        <v>2877</v>
      </c>
      <c r="B288" s="342" t="s">
        <v>2878</v>
      </c>
      <c r="C288" s="342">
        <v>61774</v>
      </c>
      <c r="D288" s="343">
        <v>41144.000002997687</v>
      </c>
      <c r="E288" s="343">
        <v>42970.00000299768</v>
      </c>
      <c r="F288" s="344">
        <v>500000000</v>
      </c>
      <c r="G288" s="344">
        <v>295500000</v>
      </c>
      <c r="H288" s="341">
        <v>183</v>
      </c>
      <c r="I288" s="341">
        <v>17.05</v>
      </c>
      <c r="J288" s="341">
        <f>VLOOKUP(6177,收盤價!A:C,3,0)</f>
        <v>21.3</v>
      </c>
      <c r="K288" s="341">
        <v>5865</v>
      </c>
      <c r="L288" s="341">
        <v>117.3</v>
      </c>
      <c r="M288" s="354">
        <v>-0.35899999999999999</v>
      </c>
    </row>
    <row r="289" spans="1:13">
      <c r="A289" s="342" t="s">
        <v>2877</v>
      </c>
      <c r="B289" s="342" t="s">
        <v>2878</v>
      </c>
      <c r="C289" s="342">
        <v>61776</v>
      </c>
      <c r="D289" s="343">
        <v>42255.00000299768</v>
      </c>
      <c r="E289" s="343">
        <v>44082.00000299768</v>
      </c>
      <c r="F289" s="344">
        <v>500000000</v>
      </c>
      <c r="G289" s="344">
        <v>498100000</v>
      </c>
      <c r="H289" s="341">
        <v>110</v>
      </c>
      <c r="I289" s="341">
        <v>18.27</v>
      </c>
      <c r="J289" s="341">
        <f>VLOOKUP(6177,收盤價!A:C,3,0)</f>
        <v>21.3</v>
      </c>
      <c r="K289" s="341">
        <v>5473</v>
      </c>
      <c r="L289" s="341">
        <v>109.46</v>
      </c>
      <c r="M289" s="354">
        <v>-4.8999999999999998E-3</v>
      </c>
    </row>
    <row r="290" spans="1:13">
      <c r="A290" s="342" t="s">
        <v>2877</v>
      </c>
      <c r="B290" s="342" t="s">
        <v>2878</v>
      </c>
      <c r="C290" s="342">
        <v>61775</v>
      </c>
      <c r="D290" s="343">
        <v>42254.00000299768</v>
      </c>
      <c r="E290" s="343">
        <v>44081.00000299768</v>
      </c>
      <c r="F290" s="344">
        <v>500000000</v>
      </c>
      <c r="G290" s="344">
        <v>494400000</v>
      </c>
      <c r="H290" s="341">
        <v>117.1</v>
      </c>
      <c r="I290" s="341">
        <v>18.170000000000002</v>
      </c>
      <c r="J290" s="341">
        <f>VLOOKUP(6177,收盤價!A:C,3,0)</f>
        <v>21.3</v>
      </c>
      <c r="K290" s="341">
        <v>5504</v>
      </c>
      <c r="L290" s="341">
        <v>110.08</v>
      </c>
      <c r="M290" s="354">
        <v>-5.9900000000000002E-2</v>
      </c>
    </row>
    <row r="291" spans="1:13">
      <c r="A291" s="342" t="s">
        <v>2879</v>
      </c>
      <c r="B291" s="342" t="s">
        <v>463</v>
      </c>
      <c r="C291" s="342" t="s">
        <v>2880</v>
      </c>
      <c r="D291" s="343">
        <v>41969.00000299768</v>
      </c>
      <c r="E291" s="343">
        <v>43065.00000299768</v>
      </c>
      <c r="F291" s="344">
        <v>200000000</v>
      </c>
      <c r="G291" s="344">
        <v>200000000</v>
      </c>
      <c r="H291" s="341">
        <v>117.1</v>
      </c>
      <c r="I291" s="341">
        <v>18.170000000000002</v>
      </c>
      <c r="J291" s="341">
        <f>VLOOKUP(6179,收盤價!A:C,3,0)</f>
        <v>35.4</v>
      </c>
      <c r="K291" s="341">
        <v>5504</v>
      </c>
      <c r="L291" s="341">
        <v>195.392</v>
      </c>
      <c r="M291" s="354">
        <v>0.66859999999999997</v>
      </c>
    </row>
    <row r="292" spans="1:13">
      <c r="A292" s="342" t="s">
        <v>2881</v>
      </c>
      <c r="B292" s="342" t="s">
        <v>2262</v>
      </c>
      <c r="C292" s="342">
        <v>61801</v>
      </c>
      <c r="D292" s="343">
        <v>42200.00000299768</v>
      </c>
      <c r="E292" s="343">
        <v>43296.00000299768</v>
      </c>
      <c r="F292" s="344">
        <v>700000000</v>
      </c>
      <c r="G292" s="344">
        <v>700000000</v>
      </c>
      <c r="H292" s="341">
        <v>117.9</v>
      </c>
      <c r="I292" s="341">
        <v>40.700000000000003</v>
      </c>
      <c r="J292" s="341">
        <f>VLOOKUP(6180,收盤價!A:C,3,0)</f>
        <v>42.6</v>
      </c>
      <c r="K292" s="341">
        <v>2457</v>
      </c>
      <c r="L292" s="341">
        <v>106.14240000000001</v>
      </c>
      <c r="M292" s="354">
        <v>-9.9699999999999997E-2</v>
      </c>
    </row>
    <row r="293" spans="1:13">
      <c r="A293" s="342" t="s">
        <v>2882</v>
      </c>
      <c r="B293" s="342" t="s">
        <v>464</v>
      </c>
      <c r="C293" s="342">
        <v>61825</v>
      </c>
      <c r="D293" s="343">
        <v>42109.00000299768</v>
      </c>
      <c r="E293" s="343">
        <v>43205.00000299768</v>
      </c>
      <c r="F293" s="344">
        <v>600000000</v>
      </c>
      <c r="G293" s="344">
        <v>600000000</v>
      </c>
      <c r="H293" s="341">
        <v>108</v>
      </c>
      <c r="I293" s="341">
        <v>14.1</v>
      </c>
      <c r="J293" s="341">
        <f>VLOOKUP(6182,收盤價!A:C,3,0)</f>
        <v>13.05</v>
      </c>
      <c r="K293" s="341">
        <v>7092</v>
      </c>
      <c r="L293" s="341">
        <v>100</v>
      </c>
      <c r="M293" s="354">
        <v>-7.4099999999999999E-2</v>
      </c>
    </row>
    <row r="294" spans="1:13">
      <c r="A294" s="342" t="s">
        <v>2883</v>
      </c>
      <c r="B294" s="342" t="s">
        <v>2884</v>
      </c>
      <c r="C294" s="342">
        <v>61841</v>
      </c>
      <c r="D294" s="343">
        <v>41411.000002997687</v>
      </c>
      <c r="E294" s="343">
        <v>42507.00000299768</v>
      </c>
      <c r="F294" s="344">
        <v>1200000000</v>
      </c>
      <c r="G294" s="344">
        <v>1178700000</v>
      </c>
      <c r="H294" s="341">
        <v>105.8</v>
      </c>
      <c r="I294" s="341">
        <v>50.64</v>
      </c>
      <c r="J294" s="341">
        <f>VLOOKUP(6184,收盤價!A:C,3,0)</f>
        <v>51</v>
      </c>
      <c r="K294" s="341">
        <v>1975</v>
      </c>
      <c r="L294" s="341">
        <v>101.12</v>
      </c>
      <c r="M294" s="354">
        <v>-4.4200000000000003E-2</v>
      </c>
    </row>
    <row r="295" spans="1:13">
      <c r="A295" s="342" t="s">
        <v>2885</v>
      </c>
      <c r="B295" s="342" t="s">
        <v>466</v>
      </c>
      <c r="C295" s="342">
        <v>61904</v>
      </c>
      <c r="D295" s="343">
        <v>41835.000002997687</v>
      </c>
      <c r="E295" s="343">
        <v>42931.00000299768</v>
      </c>
      <c r="F295" s="344">
        <v>200000000</v>
      </c>
      <c r="G295" s="344">
        <v>200000000</v>
      </c>
      <c r="H295" s="341">
        <v>105</v>
      </c>
      <c r="I295" s="341">
        <v>10.199999999999999</v>
      </c>
      <c r="J295" s="341">
        <f>VLOOKUP(6190,收盤價!A:C,3,0)</f>
        <v>5.88</v>
      </c>
      <c r="K295" s="341">
        <v>9804</v>
      </c>
      <c r="L295" s="341">
        <v>100</v>
      </c>
      <c r="M295" s="354">
        <v>-4.7600000000000003E-2</v>
      </c>
    </row>
    <row r="296" spans="1:13">
      <c r="A296" s="342" t="s">
        <v>2886</v>
      </c>
      <c r="B296" s="342" t="s">
        <v>2388</v>
      </c>
      <c r="C296" s="342">
        <v>62191</v>
      </c>
      <c r="D296" s="343">
        <v>41561.000002997687</v>
      </c>
      <c r="E296" s="343">
        <v>42657.00000299768</v>
      </c>
      <c r="F296" s="344">
        <v>200000000</v>
      </c>
      <c r="G296" s="344">
        <v>131500000</v>
      </c>
      <c r="H296" s="341">
        <v>102.6</v>
      </c>
      <c r="I296" s="341">
        <v>14.35</v>
      </c>
      <c r="J296" s="341">
        <f>VLOOKUP(6219,收盤價!A:C,3,0)</f>
        <v>11.85</v>
      </c>
      <c r="K296" s="341">
        <v>6969</v>
      </c>
      <c r="L296" s="341">
        <v>100</v>
      </c>
      <c r="M296" s="354">
        <v>-2.53E-2</v>
      </c>
    </row>
    <row r="297" spans="1:13">
      <c r="A297" s="342" t="s">
        <v>2886</v>
      </c>
      <c r="B297" s="342" t="s">
        <v>2388</v>
      </c>
      <c r="C297" s="342">
        <v>62193</v>
      </c>
      <c r="D297" s="343">
        <v>41771.000002997687</v>
      </c>
      <c r="E297" s="343">
        <v>42867.00000299768</v>
      </c>
      <c r="F297" s="344">
        <v>400000000</v>
      </c>
      <c r="G297" s="344">
        <v>341300000</v>
      </c>
      <c r="H297" s="341">
        <v>101.1</v>
      </c>
      <c r="I297" s="341">
        <v>16.25</v>
      </c>
      <c r="J297" s="341">
        <f>VLOOKUP(6219,收盤價!A:C,3,0)</f>
        <v>11.85</v>
      </c>
      <c r="K297" s="341">
        <v>6154</v>
      </c>
      <c r="L297" s="341">
        <v>100</v>
      </c>
      <c r="M297" s="354">
        <v>-1.09E-2</v>
      </c>
    </row>
    <row r="298" spans="1:13">
      <c r="A298" s="342" t="s">
        <v>2886</v>
      </c>
      <c r="B298" s="342" t="s">
        <v>2388</v>
      </c>
      <c r="C298" s="342">
        <v>62192</v>
      </c>
      <c r="D298" s="343">
        <v>41562.000002997687</v>
      </c>
      <c r="E298" s="343">
        <v>42658.00000299768</v>
      </c>
      <c r="F298" s="344">
        <v>100000000</v>
      </c>
      <c r="G298" s="344">
        <v>1400000</v>
      </c>
    </row>
    <row r="299" spans="1:13">
      <c r="A299" s="342" t="s">
        <v>2887</v>
      </c>
      <c r="B299" s="342" t="s">
        <v>471</v>
      </c>
      <c r="C299" s="342">
        <v>62206</v>
      </c>
      <c r="D299" s="343">
        <v>41465.000002997687</v>
      </c>
      <c r="E299" s="343">
        <v>42561.00000299768</v>
      </c>
      <c r="F299" s="344">
        <v>100000000</v>
      </c>
      <c r="G299" s="344">
        <v>15100000</v>
      </c>
      <c r="H299" s="341">
        <v>146</v>
      </c>
      <c r="I299" s="341">
        <v>11.9</v>
      </c>
      <c r="J299" s="341">
        <f>VLOOKUP(6220,收盤價!A:C,3,0)</f>
        <v>16.100000000000001</v>
      </c>
      <c r="K299" s="341">
        <v>8403</v>
      </c>
      <c r="L299" s="341">
        <v>135.28830000000002</v>
      </c>
      <c r="M299" s="354">
        <v>-7.3400000000000007E-2</v>
      </c>
    </row>
    <row r="300" spans="1:13">
      <c r="A300" s="342" t="s">
        <v>2887</v>
      </c>
      <c r="B300" s="342" t="s">
        <v>471</v>
      </c>
      <c r="C300" s="342">
        <v>62207</v>
      </c>
      <c r="D300" s="343">
        <v>41593.000002997687</v>
      </c>
      <c r="E300" s="343">
        <v>42689.00000299768</v>
      </c>
      <c r="F300" s="344">
        <v>200000000</v>
      </c>
      <c r="G300" s="344">
        <v>8800000</v>
      </c>
      <c r="H300" s="341">
        <v>140.69999999999999</v>
      </c>
      <c r="I300" s="341">
        <v>12.18</v>
      </c>
      <c r="J300" s="341">
        <f>VLOOKUP(6220,收盤價!A:C,3,0)</f>
        <v>16.100000000000001</v>
      </c>
      <c r="K300" s="341">
        <v>8210</v>
      </c>
      <c r="L300" s="341">
        <v>132.18100000000001</v>
      </c>
      <c r="M300" s="354">
        <v>-6.0499999999999998E-2</v>
      </c>
    </row>
    <row r="301" spans="1:13">
      <c r="A301" s="342" t="s">
        <v>2888</v>
      </c>
      <c r="B301" s="342" t="s">
        <v>473</v>
      </c>
      <c r="C301" s="342">
        <v>62233</v>
      </c>
      <c r="D301" s="343">
        <v>41961.00000299768</v>
      </c>
      <c r="E301" s="343">
        <v>43057.00000299768</v>
      </c>
      <c r="F301" s="344">
        <v>700000000</v>
      </c>
      <c r="G301" s="344">
        <v>600700000</v>
      </c>
      <c r="H301" s="341">
        <v>100</v>
      </c>
      <c r="I301" s="341">
        <v>93.4</v>
      </c>
      <c r="J301" s="341">
        <f>VLOOKUP(6223,收盤價!A:C,3,0)</f>
        <v>61.3</v>
      </c>
      <c r="K301" s="341">
        <v>1071</v>
      </c>
      <c r="L301" s="341">
        <v>100</v>
      </c>
      <c r="M301" s="355">
        <v>0</v>
      </c>
    </row>
    <row r="302" spans="1:13">
      <c r="A302" s="342" t="s">
        <v>2889</v>
      </c>
      <c r="B302" s="342" t="s">
        <v>2890</v>
      </c>
      <c r="C302" s="342">
        <v>62264</v>
      </c>
      <c r="D302" s="343">
        <v>41971.00000299768</v>
      </c>
      <c r="E302" s="343">
        <v>43067.00000299768</v>
      </c>
      <c r="F302" s="344">
        <v>200000000</v>
      </c>
      <c r="G302" s="344">
        <v>200000000</v>
      </c>
      <c r="H302" s="341">
        <v>102.2</v>
      </c>
      <c r="I302" s="341">
        <v>9.69</v>
      </c>
      <c r="J302" s="341">
        <f>VLOOKUP(6226,收盤價!A:C,3,0)</f>
        <v>5.97</v>
      </c>
      <c r="K302" s="341">
        <v>10320</v>
      </c>
      <c r="L302" s="341">
        <v>100</v>
      </c>
      <c r="M302" s="354">
        <v>-2.1499999999999998E-2</v>
      </c>
    </row>
    <row r="303" spans="1:13">
      <c r="A303" s="342" t="s">
        <v>2891</v>
      </c>
      <c r="B303" s="342" t="s">
        <v>476</v>
      </c>
      <c r="C303" s="342" t="s">
        <v>2515</v>
      </c>
      <c r="D303" s="343">
        <v>40869.000002997687</v>
      </c>
      <c r="E303" s="343">
        <v>43426.00000299768</v>
      </c>
      <c r="F303" s="344">
        <v>300000000</v>
      </c>
      <c r="G303" s="344">
        <v>30000000</v>
      </c>
      <c r="H303" s="341">
        <v>102.2</v>
      </c>
      <c r="I303" s="341">
        <v>9.69</v>
      </c>
      <c r="J303" s="341">
        <f>VLOOKUP(6231,收盤價!A:C,3,0)</f>
        <v>25.05</v>
      </c>
      <c r="K303" s="341">
        <v>10320</v>
      </c>
      <c r="L303" s="341">
        <v>255.93600000000001</v>
      </c>
      <c r="M303" s="354">
        <v>1.5043</v>
      </c>
    </row>
    <row r="304" spans="1:13">
      <c r="A304" s="342" t="s">
        <v>2892</v>
      </c>
      <c r="B304" s="342" t="s">
        <v>2382</v>
      </c>
      <c r="C304" s="342">
        <v>62384</v>
      </c>
      <c r="D304" s="343">
        <v>42244.00000299768</v>
      </c>
      <c r="E304" s="343">
        <v>43340.00000299768</v>
      </c>
      <c r="F304" s="344">
        <v>100000000</v>
      </c>
      <c r="G304" s="344">
        <v>28900000</v>
      </c>
      <c r="H304" s="341">
        <v>279</v>
      </c>
      <c r="I304" s="341">
        <v>63</v>
      </c>
      <c r="J304" s="341">
        <f>VLOOKUP(6238,收盤價!A:C,3,0)</f>
        <v>177.5</v>
      </c>
      <c r="K304" s="341">
        <v>1587</v>
      </c>
      <c r="L304" s="341">
        <v>275.34449999999998</v>
      </c>
      <c r="M304" s="354">
        <v>-1.3100000000000001E-2</v>
      </c>
    </row>
    <row r="305" spans="1:13">
      <c r="A305" s="342" t="s">
        <v>2892</v>
      </c>
      <c r="B305" s="342" t="s">
        <v>2382</v>
      </c>
      <c r="C305" s="342">
        <v>62383</v>
      </c>
      <c r="D305" s="343">
        <v>42243.00000299768</v>
      </c>
      <c r="E305" s="343">
        <v>43339.00000299768</v>
      </c>
      <c r="F305" s="344">
        <v>200000000</v>
      </c>
      <c r="G305" s="344">
        <v>170200000</v>
      </c>
      <c r="H305" s="341">
        <v>268</v>
      </c>
      <c r="I305" s="341">
        <v>63.2</v>
      </c>
      <c r="J305" s="341">
        <f>VLOOKUP(6238,收盤價!A:C,3,0)</f>
        <v>177.5</v>
      </c>
      <c r="K305" s="341">
        <v>1582</v>
      </c>
      <c r="L305" s="341">
        <v>274.47699999999998</v>
      </c>
      <c r="M305" s="354">
        <v>2.4199999999999999E-2</v>
      </c>
    </row>
    <row r="306" spans="1:13">
      <c r="A306" s="342" t="s">
        <v>2893</v>
      </c>
      <c r="B306" s="342" t="s">
        <v>2173</v>
      </c>
      <c r="C306" s="342">
        <v>62452</v>
      </c>
      <c r="D306" s="343">
        <v>41568.000002997687</v>
      </c>
      <c r="E306" s="343">
        <v>42664.00000299768</v>
      </c>
      <c r="F306" s="344">
        <v>400000000</v>
      </c>
      <c r="G306" s="344">
        <v>227700000</v>
      </c>
      <c r="H306" s="341">
        <v>111</v>
      </c>
      <c r="I306" s="341">
        <v>39.799999999999997</v>
      </c>
      <c r="J306" s="341">
        <f>VLOOKUP(6245,收盤價!A:C,3,0)</f>
        <v>39.950000000000003</v>
      </c>
      <c r="K306" s="341">
        <v>2513</v>
      </c>
      <c r="L306" s="341">
        <v>101.2739</v>
      </c>
      <c r="M306" s="354">
        <v>-8.7599999999999997E-2</v>
      </c>
    </row>
    <row r="307" spans="1:13">
      <c r="A307" s="342" t="s">
        <v>2894</v>
      </c>
      <c r="B307" s="342" t="s">
        <v>487</v>
      </c>
      <c r="C307" s="342">
        <v>62641</v>
      </c>
      <c r="D307" s="343">
        <v>41723.000002997687</v>
      </c>
      <c r="E307" s="343">
        <v>42819.00000299768</v>
      </c>
      <c r="F307" s="344">
        <v>500000000</v>
      </c>
      <c r="G307" s="344">
        <v>500000000</v>
      </c>
      <c r="H307" s="341">
        <v>100.15</v>
      </c>
      <c r="I307" s="341">
        <v>23.9</v>
      </c>
      <c r="J307" s="341">
        <f>VLOOKUP(6264,收盤價!A:C,3,0)</f>
        <v>5.79</v>
      </c>
      <c r="K307" s="341">
        <v>4184</v>
      </c>
      <c r="L307" s="341">
        <v>100</v>
      </c>
      <c r="M307" s="354">
        <v>-1.5E-3</v>
      </c>
    </row>
    <row r="308" spans="1:13">
      <c r="A308" s="342" t="s">
        <v>2895</v>
      </c>
      <c r="B308" s="342" t="s">
        <v>2896</v>
      </c>
      <c r="C308" s="342">
        <v>62693</v>
      </c>
      <c r="D308" s="343">
        <v>41872.000002997687</v>
      </c>
      <c r="E308" s="343">
        <v>42968.00000299768</v>
      </c>
      <c r="F308" s="344">
        <v>2000000000</v>
      </c>
      <c r="G308" s="344">
        <v>763300000</v>
      </c>
      <c r="H308" s="341">
        <v>133</v>
      </c>
      <c r="I308" s="341">
        <v>67.900000000000006</v>
      </c>
      <c r="J308" s="341">
        <f>VLOOKUP(6269,收盤價!A:C,3,0)</f>
        <v>81.3</v>
      </c>
      <c r="K308" s="341">
        <v>1473</v>
      </c>
      <c r="L308" s="341">
        <v>116.51429999999999</v>
      </c>
      <c r="M308" s="354">
        <v>-0.124</v>
      </c>
    </row>
    <row r="309" spans="1:13">
      <c r="A309" s="342" t="s">
        <v>2897</v>
      </c>
      <c r="B309" s="342" t="s">
        <v>2898</v>
      </c>
      <c r="C309" s="342">
        <v>62711</v>
      </c>
      <c r="D309" s="343">
        <v>41753.000002997687</v>
      </c>
      <c r="E309" s="343">
        <v>42849.00000299768</v>
      </c>
      <c r="F309" s="344">
        <v>2000000000</v>
      </c>
      <c r="G309" s="344">
        <v>2000000000</v>
      </c>
      <c r="H309" s="341">
        <v>98</v>
      </c>
      <c r="I309" s="341">
        <v>142.6</v>
      </c>
      <c r="J309" s="341">
        <f>VLOOKUP(6271,收盤價!A:C,3,0)</f>
        <v>78.099999999999994</v>
      </c>
      <c r="K309" s="341">
        <v>701</v>
      </c>
      <c r="L309" s="341">
        <v>100</v>
      </c>
      <c r="M309" s="354">
        <v>2.0400000000000001E-2</v>
      </c>
    </row>
    <row r="310" spans="1:13">
      <c r="A310" s="342" t="s">
        <v>2899</v>
      </c>
      <c r="B310" s="342" t="s">
        <v>2383</v>
      </c>
      <c r="C310" s="342">
        <v>62754</v>
      </c>
      <c r="D310" s="343">
        <v>41473.000002997687</v>
      </c>
      <c r="E310" s="343">
        <v>42569.00000299768</v>
      </c>
      <c r="F310" s="344">
        <v>220000000</v>
      </c>
      <c r="G310" s="344">
        <v>141600000</v>
      </c>
      <c r="H310" s="341">
        <v>109.2</v>
      </c>
      <c r="I310" s="341">
        <v>13.5</v>
      </c>
      <c r="J310" s="341">
        <f>VLOOKUP(6275,收盤價!A:C,3,0)</f>
        <v>11.9</v>
      </c>
      <c r="K310" s="341">
        <v>7407</v>
      </c>
      <c r="L310" s="341">
        <v>100</v>
      </c>
      <c r="M310" s="354">
        <v>-8.4199999999999997E-2</v>
      </c>
    </row>
    <row r="311" spans="1:13">
      <c r="A311" s="342" t="s">
        <v>2900</v>
      </c>
      <c r="B311" s="342" t="s">
        <v>2355</v>
      </c>
      <c r="C311" s="342">
        <v>62842</v>
      </c>
      <c r="D311" s="343">
        <v>41603.000002997687</v>
      </c>
      <c r="E311" s="343">
        <v>42699.00000299768</v>
      </c>
      <c r="F311" s="344">
        <v>300000000</v>
      </c>
      <c r="G311" s="344">
        <v>202500000</v>
      </c>
      <c r="H311" s="341">
        <v>105.5</v>
      </c>
      <c r="I311" s="341">
        <v>29.44</v>
      </c>
      <c r="J311" s="341">
        <f>VLOOKUP(6284,收盤價!A:C,3,0)</f>
        <v>20.399999999999999</v>
      </c>
      <c r="K311" s="341">
        <v>3397</v>
      </c>
      <c r="L311" s="341">
        <v>100</v>
      </c>
      <c r="M311" s="354">
        <v>-5.21E-2</v>
      </c>
    </row>
    <row r="312" spans="1:13">
      <c r="A312" s="342" t="s">
        <v>2901</v>
      </c>
      <c r="B312" s="342" t="s">
        <v>2902</v>
      </c>
      <c r="C312" s="342">
        <v>62852</v>
      </c>
      <c r="D312" s="343">
        <v>42374.00000299768</v>
      </c>
      <c r="E312" s="343">
        <v>43470.00000299768</v>
      </c>
      <c r="F312" s="344">
        <v>1500000000</v>
      </c>
      <c r="G312" s="344">
        <v>1500000000</v>
      </c>
    </row>
    <row r="313" spans="1:13">
      <c r="A313" s="342" t="s">
        <v>2903</v>
      </c>
      <c r="B313" s="342" t="s">
        <v>2138</v>
      </c>
      <c r="C313" s="342">
        <v>62874</v>
      </c>
      <c r="D313" s="343">
        <v>42044.00000299768</v>
      </c>
      <c r="E313" s="343">
        <v>43140.00000299768</v>
      </c>
      <c r="F313" s="344">
        <v>250000000</v>
      </c>
      <c r="G313" s="344">
        <v>250000000</v>
      </c>
      <c r="H313" s="341">
        <v>99.5</v>
      </c>
      <c r="I313" s="341">
        <v>5.8</v>
      </c>
      <c r="J313" s="341">
        <f>VLOOKUP(6287,收盤價!A:C,3,0)</f>
        <v>0</v>
      </c>
      <c r="K313" s="341">
        <v>17241</v>
      </c>
      <c r="L313" s="341">
        <v>100</v>
      </c>
      <c r="M313" s="354">
        <v>5.0000000000000001E-3</v>
      </c>
    </row>
    <row r="314" spans="1:13">
      <c r="A314" s="342" t="s">
        <v>2903</v>
      </c>
      <c r="B314" s="342" t="s">
        <v>2138</v>
      </c>
      <c r="C314" s="342" t="s">
        <v>2904</v>
      </c>
      <c r="D314" s="343">
        <v>41439.000002997687</v>
      </c>
      <c r="E314" s="343">
        <v>42535.00000299768</v>
      </c>
      <c r="F314" s="344">
        <v>90000000</v>
      </c>
      <c r="G314" s="344">
        <v>45000000</v>
      </c>
      <c r="H314" s="341">
        <v>99.5</v>
      </c>
      <c r="I314" s="341">
        <v>5.8</v>
      </c>
      <c r="J314" s="341">
        <f>VLOOKUP(6287,收盤價!A:C,3,0)</f>
        <v>0</v>
      </c>
      <c r="K314" s="341">
        <v>17241</v>
      </c>
      <c r="L314" s="341">
        <v>100</v>
      </c>
      <c r="M314" s="354">
        <v>5.0000000000000001E-3</v>
      </c>
    </row>
    <row r="315" spans="1:13">
      <c r="A315" s="342" t="s">
        <v>2903</v>
      </c>
      <c r="B315" s="342" t="s">
        <v>2138</v>
      </c>
      <c r="C315" s="342" t="s">
        <v>2905</v>
      </c>
      <c r="D315" s="343">
        <v>41487.000002997687</v>
      </c>
      <c r="E315" s="343">
        <v>42583.00000299768</v>
      </c>
      <c r="F315" s="344">
        <v>150000000</v>
      </c>
      <c r="G315" s="344">
        <v>150000000</v>
      </c>
      <c r="H315" s="341">
        <v>99.5</v>
      </c>
      <c r="I315" s="341">
        <v>5.8</v>
      </c>
      <c r="J315" s="341">
        <f>VLOOKUP(6287,收盤價!A:C,3,0)</f>
        <v>0</v>
      </c>
      <c r="K315" s="341">
        <v>17241</v>
      </c>
      <c r="L315" s="341">
        <v>100</v>
      </c>
      <c r="M315" s="354">
        <v>5.0000000000000001E-3</v>
      </c>
    </row>
    <row r="316" spans="1:13">
      <c r="A316" s="342" t="s">
        <v>2906</v>
      </c>
      <c r="B316" s="342" t="s">
        <v>2205</v>
      </c>
      <c r="C316" s="342">
        <v>62905</v>
      </c>
      <c r="D316" s="343">
        <v>40759.000002997687</v>
      </c>
      <c r="E316" s="343">
        <v>42586.00000299768</v>
      </c>
      <c r="F316" s="344">
        <v>200000000</v>
      </c>
      <c r="G316" s="344">
        <v>21200000</v>
      </c>
      <c r="H316" s="341">
        <v>150</v>
      </c>
      <c r="I316" s="341">
        <v>24.5</v>
      </c>
      <c r="J316" s="341">
        <f>VLOOKUP(6290,收盤價!A:C,3,0)</f>
        <v>29.6</v>
      </c>
      <c r="K316" s="341">
        <v>4082</v>
      </c>
      <c r="L316" s="341">
        <v>118.378</v>
      </c>
      <c r="M316" s="354">
        <v>-0.21079999999999999</v>
      </c>
    </row>
    <row r="317" spans="1:13">
      <c r="A317" s="342" t="s">
        <v>2907</v>
      </c>
      <c r="B317" s="342" t="s">
        <v>2908</v>
      </c>
      <c r="C317" s="342">
        <v>64141</v>
      </c>
      <c r="D317" s="343">
        <v>42129.00000299768</v>
      </c>
      <c r="E317" s="343">
        <v>43225.00000299768</v>
      </c>
      <c r="F317" s="344">
        <v>800000000</v>
      </c>
      <c r="G317" s="344">
        <v>618900000</v>
      </c>
      <c r="H317" s="341">
        <v>128.05000000000001</v>
      </c>
      <c r="I317" s="341">
        <v>289.10000000000002</v>
      </c>
      <c r="J317" s="341">
        <f>VLOOKUP(6414,收盤價!A:C,3,0)</f>
        <v>371</v>
      </c>
      <c r="K317" s="341">
        <v>346</v>
      </c>
      <c r="L317" s="341">
        <v>122.13800000000001</v>
      </c>
      <c r="M317" s="354">
        <v>-4.6199999999999998E-2</v>
      </c>
    </row>
    <row r="318" spans="1:13">
      <c r="A318" s="342" t="s">
        <v>2909</v>
      </c>
      <c r="B318" s="342" t="s">
        <v>495</v>
      </c>
      <c r="C318" s="342">
        <v>65094</v>
      </c>
      <c r="D318" s="343">
        <v>41942.000002997687</v>
      </c>
      <c r="E318" s="343">
        <v>43038.00000299768</v>
      </c>
      <c r="F318" s="344">
        <v>300000000</v>
      </c>
      <c r="G318" s="344">
        <v>300000000</v>
      </c>
      <c r="H318" s="341">
        <v>110.5</v>
      </c>
      <c r="I318" s="341">
        <v>19.899999999999999</v>
      </c>
      <c r="J318" s="341">
        <f>VLOOKUP(6509,收盤價!A:C,3,0)</f>
        <v>19.95</v>
      </c>
      <c r="K318" s="341">
        <v>5025</v>
      </c>
      <c r="L318" s="341">
        <v>100</v>
      </c>
      <c r="M318" s="354">
        <v>-9.5000000000000001E-2</v>
      </c>
    </row>
    <row r="319" spans="1:13">
      <c r="A319" s="342" t="s">
        <v>2910</v>
      </c>
      <c r="B319" s="342" t="s">
        <v>496</v>
      </c>
      <c r="C319" s="342">
        <v>66032</v>
      </c>
      <c r="D319" s="343">
        <v>42157.00000299768</v>
      </c>
      <c r="E319" s="343">
        <v>43984.00000299768</v>
      </c>
      <c r="F319" s="344">
        <v>300000000</v>
      </c>
      <c r="G319" s="344">
        <v>300000000</v>
      </c>
      <c r="H319" s="341">
        <v>106.3</v>
      </c>
      <c r="I319" s="341">
        <v>11.83</v>
      </c>
      <c r="J319" s="341">
        <f>VLOOKUP(6603,收盤價!A:C,3,0)</f>
        <v>10.3</v>
      </c>
      <c r="K319" s="341">
        <v>8453</v>
      </c>
      <c r="L319" s="341">
        <v>100</v>
      </c>
      <c r="M319" s="354">
        <v>-5.9299999999999999E-2</v>
      </c>
    </row>
    <row r="320" spans="1:13">
      <c r="A320" s="342" t="s">
        <v>2911</v>
      </c>
      <c r="B320" s="342" t="s">
        <v>2912</v>
      </c>
      <c r="C320" s="342">
        <v>67021</v>
      </c>
      <c r="D320" s="343">
        <v>41921.000002997687</v>
      </c>
      <c r="E320" s="343">
        <v>43747.00000299768</v>
      </c>
      <c r="F320" s="344">
        <v>1000000000</v>
      </c>
      <c r="G320" s="344">
        <v>180400000</v>
      </c>
      <c r="H320" s="341">
        <v>94</v>
      </c>
      <c r="I320" s="341">
        <v>11.1</v>
      </c>
      <c r="J320" s="341">
        <f>VLOOKUP(6702,收盤價!A:C,3,0)</f>
        <v>8.1</v>
      </c>
      <c r="K320" s="341">
        <v>9009</v>
      </c>
      <c r="L320" s="341">
        <v>100</v>
      </c>
      <c r="M320" s="354">
        <v>6.3799999999999996E-2</v>
      </c>
    </row>
    <row r="321" spans="1:13">
      <c r="A321" s="342" t="s">
        <v>2913</v>
      </c>
      <c r="B321" s="342" t="s">
        <v>2088</v>
      </c>
      <c r="C321" s="342">
        <v>80271</v>
      </c>
      <c r="D321" s="343">
        <v>42335.00000299768</v>
      </c>
      <c r="E321" s="343">
        <v>43431.00000299768</v>
      </c>
      <c r="F321" s="344">
        <v>300000000</v>
      </c>
      <c r="G321" s="344">
        <v>300000000</v>
      </c>
      <c r="H321" s="341">
        <v>111.5</v>
      </c>
      <c r="I321" s="341">
        <v>19.55</v>
      </c>
      <c r="J321" s="341">
        <f>VLOOKUP(8027,收盤價!A:C,3,0)</f>
        <v>20</v>
      </c>
      <c r="K321" s="341">
        <v>5115</v>
      </c>
      <c r="L321" s="341">
        <v>103.06725</v>
      </c>
      <c r="M321" s="354">
        <v>-7.5600000000000001E-2</v>
      </c>
    </row>
    <row r="322" spans="1:13">
      <c r="A322" s="342" t="s">
        <v>2914</v>
      </c>
      <c r="B322" s="342" t="s">
        <v>499</v>
      </c>
      <c r="C322" s="342">
        <v>80381</v>
      </c>
      <c r="D322" s="343">
        <v>41898.000002997687</v>
      </c>
      <c r="E322" s="343">
        <v>42994.00000299768</v>
      </c>
      <c r="F322" s="344">
        <v>400000000</v>
      </c>
      <c r="G322" s="344">
        <v>400000000</v>
      </c>
      <c r="H322" s="341">
        <v>105</v>
      </c>
      <c r="I322" s="341">
        <v>60.6</v>
      </c>
      <c r="J322" s="341">
        <f>VLOOKUP(8038,收盤價!A:C,3,0)</f>
        <v>49</v>
      </c>
      <c r="K322" s="341">
        <v>1650</v>
      </c>
      <c r="L322" s="341">
        <v>100</v>
      </c>
      <c r="M322" s="354">
        <v>-4.7600000000000003E-2</v>
      </c>
    </row>
    <row r="323" spans="1:13">
      <c r="A323" s="342" t="s">
        <v>2915</v>
      </c>
      <c r="B323" s="342" t="s">
        <v>1779</v>
      </c>
      <c r="C323" s="342">
        <v>80423</v>
      </c>
      <c r="D323" s="343">
        <v>41211.000002997687</v>
      </c>
      <c r="E323" s="343">
        <v>43037.00000299768</v>
      </c>
      <c r="F323" s="344">
        <v>250000000</v>
      </c>
      <c r="G323" s="344">
        <v>22500000</v>
      </c>
      <c r="H323" s="341">
        <v>143</v>
      </c>
      <c r="I323" s="341">
        <v>32.4</v>
      </c>
      <c r="J323" s="341">
        <f>VLOOKUP(8042,收盤價!A:C,3,0)</f>
        <v>36.25</v>
      </c>
      <c r="K323" s="341">
        <v>3086</v>
      </c>
      <c r="L323" s="341">
        <v>111.86750000000001</v>
      </c>
      <c r="M323" s="354">
        <v>-0.2177</v>
      </c>
    </row>
    <row r="324" spans="1:13">
      <c r="A324" s="342" t="s">
        <v>2915</v>
      </c>
      <c r="B324" s="342" t="s">
        <v>1779</v>
      </c>
      <c r="C324" s="342">
        <v>80424</v>
      </c>
      <c r="D324" s="343">
        <v>42185.00000299768</v>
      </c>
      <c r="E324" s="343">
        <v>43281.00000299768</v>
      </c>
      <c r="F324" s="344">
        <v>500000000</v>
      </c>
      <c r="G324" s="344">
        <v>500000000</v>
      </c>
      <c r="H324" s="341">
        <v>105</v>
      </c>
      <c r="I324" s="341">
        <v>40.9</v>
      </c>
      <c r="J324" s="341">
        <f>VLOOKUP(8042,收盤價!A:C,3,0)</f>
        <v>36.25</v>
      </c>
      <c r="K324" s="341">
        <v>2445</v>
      </c>
      <c r="L324" s="341">
        <v>100</v>
      </c>
      <c r="M324" s="354">
        <v>-4.7600000000000003E-2</v>
      </c>
    </row>
    <row r="325" spans="1:13">
      <c r="A325" s="342" t="s">
        <v>2916</v>
      </c>
      <c r="B325" s="342" t="s">
        <v>2314</v>
      </c>
      <c r="C325" s="342">
        <v>80504</v>
      </c>
      <c r="D325" s="343">
        <v>42048.00000299768</v>
      </c>
      <c r="E325" s="343">
        <v>43874.00000299768</v>
      </c>
      <c r="F325" s="344">
        <v>150000000</v>
      </c>
      <c r="G325" s="344">
        <v>150000000</v>
      </c>
      <c r="H325" s="341">
        <v>115.05</v>
      </c>
      <c r="I325" s="341">
        <v>52.13</v>
      </c>
      <c r="J325" s="341">
        <f>VLOOKUP(8050,收盤價!A:C,3,0)</f>
        <v>51.2</v>
      </c>
      <c r="K325" s="341">
        <v>1918</v>
      </c>
      <c r="L325" s="341">
        <v>100</v>
      </c>
      <c r="M325" s="354">
        <v>-0.1308</v>
      </c>
    </row>
    <row r="326" spans="1:13">
      <c r="A326" s="342" t="s">
        <v>2917</v>
      </c>
      <c r="B326" s="342" t="s">
        <v>2918</v>
      </c>
      <c r="C326" s="342" t="s">
        <v>2919</v>
      </c>
      <c r="D326" s="343">
        <v>42250.00000299768</v>
      </c>
      <c r="E326" s="343">
        <v>42981.00000299768</v>
      </c>
      <c r="F326" s="344">
        <v>500000000</v>
      </c>
      <c r="G326" s="344">
        <v>500000000</v>
      </c>
      <c r="H326" s="341">
        <v>115.05</v>
      </c>
      <c r="I326" s="341">
        <v>52.13</v>
      </c>
      <c r="J326" s="341" t="e">
        <f>VLOOKUP(8056,收盤價!A:C,3,0)</f>
        <v>#N/A</v>
      </c>
      <c r="K326" s="341">
        <v>1918</v>
      </c>
      <c r="L326" s="341">
        <v>100</v>
      </c>
      <c r="M326" s="354">
        <v>-0.1308</v>
      </c>
    </row>
    <row r="327" spans="1:13">
      <c r="A327" s="342" t="s">
        <v>2920</v>
      </c>
      <c r="B327" s="342" t="s">
        <v>2208</v>
      </c>
      <c r="C327" s="342">
        <v>80745</v>
      </c>
      <c r="D327" s="343">
        <v>42236.00000299768</v>
      </c>
      <c r="E327" s="343">
        <v>44063.00000299768</v>
      </c>
      <c r="F327" s="344">
        <v>450000000</v>
      </c>
      <c r="G327" s="344">
        <v>437300000</v>
      </c>
      <c r="H327" s="341">
        <v>119.2</v>
      </c>
      <c r="I327" s="341">
        <v>20.399999999999999</v>
      </c>
      <c r="J327" s="341">
        <f>VLOOKUP(8074,收盤價!A:C,3,0)</f>
        <v>23.95</v>
      </c>
      <c r="K327" s="341">
        <v>4902</v>
      </c>
      <c r="L327" s="341">
        <v>117.15779999999999</v>
      </c>
      <c r="M327" s="354">
        <v>-1.7100000000000001E-2</v>
      </c>
    </row>
    <row r="328" spans="1:13">
      <c r="A328" s="342" t="s">
        <v>2921</v>
      </c>
      <c r="B328" s="342" t="s">
        <v>2221</v>
      </c>
      <c r="C328" s="342" t="s">
        <v>2922</v>
      </c>
      <c r="D328" s="343">
        <v>42047.00000299768</v>
      </c>
      <c r="E328" s="343">
        <v>43142.00000299768</v>
      </c>
      <c r="F328" s="344">
        <v>250000000</v>
      </c>
      <c r="G328" s="344">
        <v>250000000</v>
      </c>
      <c r="H328" s="341">
        <v>119.2</v>
      </c>
      <c r="I328" s="341">
        <v>20.399999999999999</v>
      </c>
      <c r="J328" s="341">
        <f>VLOOKUP(8084,收盤價!A:C,3,0)</f>
        <v>23.55</v>
      </c>
      <c r="K328" s="341">
        <v>4902</v>
      </c>
      <c r="L328" s="341">
        <v>115.197</v>
      </c>
      <c r="M328" s="354">
        <v>-3.3599999999999998E-2</v>
      </c>
    </row>
    <row r="329" spans="1:13">
      <c r="A329" s="342" t="s">
        <v>2923</v>
      </c>
      <c r="B329" s="342" t="s">
        <v>2924</v>
      </c>
      <c r="C329" s="342">
        <v>81101</v>
      </c>
      <c r="D329" s="343">
        <v>41957.00000299768</v>
      </c>
      <c r="E329" s="343">
        <v>43053.00000299768</v>
      </c>
      <c r="F329" s="344">
        <v>600000000</v>
      </c>
      <c r="G329" s="344">
        <v>600000000</v>
      </c>
      <c r="H329" s="341">
        <v>95</v>
      </c>
      <c r="I329" s="341">
        <v>14.3</v>
      </c>
      <c r="J329" s="341">
        <f>VLOOKUP(8110,收盤價!A:C,3,0)</f>
        <v>9.15</v>
      </c>
      <c r="K329" s="341">
        <v>6993</v>
      </c>
      <c r="L329" s="341">
        <v>100</v>
      </c>
      <c r="M329" s="354">
        <v>5.2600000000000001E-2</v>
      </c>
    </row>
    <row r="330" spans="1:13">
      <c r="A330" s="342" t="s">
        <v>2925</v>
      </c>
      <c r="B330" s="342" t="s">
        <v>2926</v>
      </c>
      <c r="C330" s="342">
        <v>81127</v>
      </c>
      <c r="D330" s="343">
        <v>41611.000002997687</v>
      </c>
      <c r="E330" s="343">
        <v>42707.00000299768</v>
      </c>
      <c r="F330" s="344">
        <v>600000000</v>
      </c>
      <c r="G330" s="344">
        <v>60700000</v>
      </c>
      <c r="H330" s="341">
        <v>112</v>
      </c>
      <c r="I330" s="341">
        <v>11.6</v>
      </c>
      <c r="J330" s="341">
        <f>VLOOKUP(8112,收盤價!A:C,3,0)</f>
        <v>12.9</v>
      </c>
      <c r="K330" s="341">
        <v>8621</v>
      </c>
      <c r="L330" s="341">
        <v>111.64194999999999</v>
      </c>
      <c r="M330" s="354">
        <v>-3.2000000000000002E-3</v>
      </c>
    </row>
    <row r="331" spans="1:13">
      <c r="A331" s="342" t="s">
        <v>2927</v>
      </c>
      <c r="B331" s="342" t="s">
        <v>2928</v>
      </c>
      <c r="C331" s="342">
        <v>81141</v>
      </c>
      <c r="D331" s="343">
        <v>41848.000002997687</v>
      </c>
      <c r="E331" s="343">
        <v>42944.00000299768</v>
      </c>
      <c r="F331" s="344">
        <v>850000000</v>
      </c>
      <c r="G331" s="344">
        <v>850000000</v>
      </c>
      <c r="H331" s="341">
        <v>107.5</v>
      </c>
      <c r="I331" s="341">
        <v>179.64</v>
      </c>
      <c r="J331" s="341">
        <f>VLOOKUP(8114,收盤價!A:C,3,0)</f>
        <v>152.5</v>
      </c>
      <c r="K331" s="341">
        <v>557</v>
      </c>
      <c r="L331" s="341">
        <v>100</v>
      </c>
      <c r="M331" s="354">
        <v>-6.9800000000000001E-2</v>
      </c>
    </row>
    <row r="332" spans="1:13">
      <c r="A332" s="342" t="s">
        <v>2929</v>
      </c>
      <c r="B332" s="342" t="s">
        <v>2358</v>
      </c>
      <c r="C332" s="342">
        <v>81471</v>
      </c>
      <c r="D332" s="343">
        <v>42034.00000299768</v>
      </c>
      <c r="E332" s="343">
        <v>43130.00000299768</v>
      </c>
      <c r="F332" s="344">
        <v>200000000</v>
      </c>
      <c r="G332" s="344">
        <v>65300000</v>
      </c>
      <c r="H332" s="341">
        <v>155</v>
      </c>
      <c r="I332" s="341">
        <v>37.1</v>
      </c>
      <c r="J332" s="341">
        <f>VLOOKUP(8147,收盤價!A:C,3,0)</f>
        <v>42.6</v>
      </c>
      <c r="K332" s="341">
        <v>2695</v>
      </c>
      <c r="L332" s="341">
        <v>115.07650000000001</v>
      </c>
      <c r="M332" s="354">
        <v>-0.2576</v>
      </c>
    </row>
    <row r="333" spans="1:13">
      <c r="A333" s="342" t="s">
        <v>2930</v>
      </c>
      <c r="B333" s="342" t="s">
        <v>2177</v>
      </c>
      <c r="C333" s="342">
        <v>81712</v>
      </c>
      <c r="D333" s="343">
        <v>41887.000002997687</v>
      </c>
      <c r="E333" s="343">
        <v>42983.00000299768</v>
      </c>
      <c r="F333" s="344">
        <v>160000000</v>
      </c>
      <c r="G333" s="344">
        <v>160000000</v>
      </c>
      <c r="H333" s="341">
        <v>102.5</v>
      </c>
      <c r="I333" s="341">
        <v>19.600000000000001</v>
      </c>
      <c r="J333" s="341">
        <f>VLOOKUP(8171,收盤價!A:C,3,0)</f>
        <v>11.1</v>
      </c>
      <c r="K333" s="341">
        <v>5102</v>
      </c>
      <c r="L333" s="341">
        <v>100</v>
      </c>
      <c r="M333" s="354">
        <v>-2.4400000000000002E-2</v>
      </c>
    </row>
    <row r="334" spans="1:13">
      <c r="A334" s="342" t="s">
        <v>2931</v>
      </c>
      <c r="B334" s="342" t="s">
        <v>2327</v>
      </c>
      <c r="C334" s="342">
        <v>82402</v>
      </c>
      <c r="D334" s="343">
        <v>41295.000002997687</v>
      </c>
      <c r="E334" s="343">
        <v>43121.00000299768</v>
      </c>
      <c r="F334" s="344">
        <v>300000000</v>
      </c>
      <c r="G334" s="344">
        <v>300000000</v>
      </c>
      <c r="H334" s="341">
        <v>102.5</v>
      </c>
      <c r="I334" s="341">
        <v>41.3</v>
      </c>
      <c r="J334" s="341">
        <f>VLOOKUP(8240,收盤價!A:C,3,0)</f>
        <v>20.100000000000001</v>
      </c>
      <c r="K334" s="341">
        <v>2421</v>
      </c>
      <c r="L334" s="341">
        <v>100</v>
      </c>
      <c r="M334" s="354">
        <v>-2.4400000000000002E-2</v>
      </c>
    </row>
    <row r="335" spans="1:13">
      <c r="A335" s="342" t="s">
        <v>2932</v>
      </c>
      <c r="B335" s="342" t="s">
        <v>2141</v>
      </c>
      <c r="C335" s="342">
        <v>82773</v>
      </c>
      <c r="D335" s="343">
        <v>41876.000002997687</v>
      </c>
      <c r="E335" s="343">
        <v>42972.00000299768</v>
      </c>
      <c r="F335" s="344">
        <v>300000000</v>
      </c>
      <c r="G335" s="344">
        <v>300000000</v>
      </c>
      <c r="H335" s="341">
        <v>97.8</v>
      </c>
      <c r="I335" s="341">
        <v>22.2</v>
      </c>
      <c r="J335" s="341">
        <f>VLOOKUP(8277,收盤價!A:C,3,0)</f>
        <v>7.3</v>
      </c>
      <c r="K335" s="341">
        <v>4504</v>
      </c>
      <c r="L335" s="341">
        <v>100</v>
      </c>
      <c r="M335" s="354">
        <v>2.2499999999999999E-2</v>
      </c>
    </row>
    <row r="336" spans="1:13">
      <c r="A336" s="342" t="s">
        <v>2933</v>
      </c>
      <c r="B336" s="342" t="s">
        <v>2934</v>
      </c>
      <c r="C336" s="342">
        <v>83492</v>
      </c>
      <c r="D336" s="343">
        <v>42138.00000299768</v>
      </c>
      <c r="E336" s="343">
        <v>43965.00000299768</v>
      </c>
      <c r="F336" s="344">
        <v>1000000000</v>
      </c>
      <c r="G336" s="344">
        <v>1000000000</v>
      </c>
      <c r="H336" s="341">
        <v>103</v>
      </c>
      <c r="I336" s="341">
        <v>103.9</v>
      </c>
      <c r="J336" s="341">
        <f>VLOOKUP(8349,收盤價!A:C,3,0)</f>
        <v>83.9</v>
      </c>
      <c r="K336" s="341">
        <v>962</v>
      </c>
      <c r="L336" s="341">
        <v>100</v>
      </c>
      <c r="M336" s="354">
        <v>-2.9100000000000001E-2</v>
      </c>
    </row>
    <row r="337" spans="1:13">
      <c r="A337" s="342" t="s">
        <v>2935</v>
      </c>
      <c r="B337" s="342" t="s">
        <v>2254</v>
      </c>
      <c r="C337" s="342">
        <v>84011</v>
      </c>
      <c r="D337" s="343">
        <v>41435.000002997687</v>
      </c>
      <c r="E337" s="343">
        <v>42531.00000299768</v>
      </c>
      <c r="F337" s="344">
        <v>200000000</v>
      </c>
      <c r="G337" s="344">
        <v>64200000</v>
      </c>
      <c r="H337" s="341">
        <v>102.1</v>
      </c>
      <c r="I337" s="341">
        <v>12.58</v>
      </c>
      <c r="J337" s="341">
        <f>VLOOKUP(8401,收盤價!A:C,3,0)</f>
        <v>11.95</v>
      </c>
      <c r="K337" s="341">
        <v>7949</v>
      </c>
      <c r="L337" s="341">
        <v>100</v>
      </c>
      <c r="M337" s="354">
        <v>-2.06E-2</v>
      </c>
    </row>
    <row r="338" spans="1:13">
      <c r="A338" s="342" t="s">
        <v>2936</v>
      </c>
      <c r="B338" s="342" t="s">
        <v>2288</v>
      </c>
      <c r="C338" s="342">
        <v>84032</v>
      </c>
      <c r="D338" s="343">
        <v>41488.000002997687</v>
      </c>
      <c r="E338" s="343">
        <v>42584.00000299768</v>
      </c>
      <c r="F338" s="344">
        <v>500000000</v>
      </c>
      <c r="G338" s="344">
        <v>96900000</v>
      </c>
      <c r="H338" s="341">
        <v>127</v>
      </c>
      <c r="I338" s="341">
        <v>36.090000000000003</v>
      </c>
      <c r="J338" s="341">
        <f>VLOOKUP(8403,收盤價!A:C,3,0)</f>
        <v>45.6</v>
      </c>
      <c r="K338" s="341">
        <v>2771</v>
      </c>
      <c r="L338" s="341">
        <v>126.0805</v>
      </c>
      <c r="M338" s="354">
        <v>-7.1999999999999998E-3</v>
      </c>
    </row>
    <row r="339" spans="1:13">
      <c r="A339" s="342" t="s">
        <v>2937</v>
      </c>
      <c r="B339" s="342" t="s">
        <v>1826</v>
      </c>
      <c r="C339" s="342">
        <v>84061</v>
      </c>
      <c r="D339" s="343">
        <v>41472.000002997687</v>
      </c>
      <c r="E339" s="343">
        <v>43298.00000299768</v>
      </c>
      <c r="F339" s="344">
        <v>2000000000</v>
      </c>
      <c r="G339" s="344">
        <v>971600000</v>
      </c>
      <c r="H339" s="341">
        <v>104.1</v>
      </c>
      <c r="I339" s="341">
        <v>479.1</v>
      </c>
      <c r="J339" s="341">
        <f>VLOOKUP(8406,收盤價!A:C,3,0)</f>
        <v>422.5</v>
      </c>
      <c r="K339" s="341">
        <v>209</v>
      </c>
      <c r="L339" s="341">
        <v>100</v>
      </c>
      <c r="M339" s="354">
        <v>-3.9399999999999998E-2</v>
      </c>
    </row>
    <row r="340" spans="1:13">
      <c r="A340" s="342" t="s">
        <v>2938</v>
      </c>
      <c r="B340" s="342" t="s">
        <v>2939</v>
      </c>
      <c r="C340" s="342">
        <v>84111</v>
      </c>
      <c r="D340" s="343">
        <v>41506.000002997687</v>
      </c>
      <c r="E340" s="343">
        <v>42602.00000299768</v>
      </c>
      <c r="F340" s="344">
        <v>1000000000</v>
      </c>
      <c r="G340" s="344">
        <v>50100000</v>
      </c>
      <c r="H340" s="341">
        <v>101.6</v>
      </c>
      <c r="I340" s="341">
        <v>73.930000000000007</v>
      </c>
      <c r="J340" s="341">
        <f>VLOOKUP(8411,收盤價!A:C,3,0)</f>
        <v>26.2</v>
      </c>
      <c r="K340" s="341">
        <v>1353</v>
      </c>
      <c r="L340" s="341">
        <v>100</v>
      </c>
      <c r="M340" s="354">
        <v>-1.5699999999999999E-2</v>
      </c>
    </row>
    <row r="341" spans="1:13">
      <c r="A341" s="342" t="s">
        <v>2940</v>
      </c>
      <c r="B341" s="342" t="s">
        <v>516</v>
      </c>
      <c r="C341" s="342">
        <v>84211</v>
      </c>
      <c r="D341" s="343">
        <v>41716.000002997687</v>
      </c>
      <c r="E341" s="343">
        <v>42812.00000299768</v>
      </c>
      <c r="F341" s="344">
        <v>150000000</v>
      </c>
      <c r="G341" s="344">
        <v>150000000</v>
      </c>
      <c r="H341" s="341">
        <v>104.5</v>
      </c>
      <c r="I341" s="341">
        <v>16.75</v>
      </c>
      <c r="J341" s="341">
        <f>VLOOKUP(8421,收盤價!A:C,3,0)</f>
        <v>11.65</v>
      </c>
      <c r="K341" s="341">
        <v>5970</v>
      </c>
      <c r="L341" s="341">
        <v>100</v>
      </c>
      <c r="M341" s="354">
        <v>-4.3099999999999999E-2</v>
      </c>
    </row>
    <row r="342" spans="1:13">
      <c r="A342" s="342" t="s">
        <v>2941</v>
      </c>
      <c r="B342" s="342" t="s">
        <v>2942</v>
      </c>
      <c r="C342" s="342">
        <v>84291</v>
      </c>
      <c r="D342" s="343">
        <v>41694.000002997687</v>
      </c>
      <c r="E342" s="343">
        <v>42790.00000299768</v>
      </c>
      <c r="F342" s="344">
        <v>1200000000</v>
      </c>
      <c r="G342" s="344">
        <v>1200000000</v>
      </c>
      <c r="H342" s="341">
        <v>100</v>
      </c>
      <c r="I342" s="341">
        <v>92.3</v>
      </c>
      <c r="J342" s="341">
        <f>VLOOKUP(8429,收盤價!A:C,3,0)</f>
        <v>58</v>
      </c>
      <c r="K342" s="341">
        <v>1083</v>
      </c>
      <c r="L342" s="341">
        <v>100</v>
      </c>
      <c r="M342" s="355">
        <v>0</v>
      </c>
    </row>
    <row r="343" spans="1:13">
      <c r="A343" s="342" t="s">
        <v>2943</v>
      </c>
      <c r="B343" s="342" t="s">
        <v>518</v>
      </c>
      <c r="C343" s="342">
        <v>84311</v>
      </c>
      <c r="D343" s="343">
        <v>42293.00000299768</v>
      </c>
      <c r="E343" s="343">
        <v>43389.00000299768</v>
      </c>
      <c r="F343" s="344">
        <v>220000000</v>
      </c>
      <c r="G343" s="344">
        <v>220000000</v>
      </c>
      <c r="H343" s="341">
        <v>131</v>
      </c>
      <c r="I343" s="341">
        <v>67.5</v>
      </c>
      <c r="J343" s="341">
        <f>VLOOKUP(8431,收盤價!A:C,3,0)</f>
        <v>85.7</v>
      </c>
      <c r="K343" s="341">
        <v>1481</v>
      </c>
      <c r="L343" s="341">
        <v>119.6648</v>
      </c>
      <c r="M343" s="354">
        <v>-8.6499999999999994E-2</v>
      </c>
    </row>
    <row r="344" spans="1:13">
      <c r="A344" s="342" t="s">
        <v>2944</v>
      </c>
      <c r="B344" s="342" t="s">
        <v>2945</v>
      </c>
      <c r="C344" s="342">
        <v>84361</v>
      </c>
      <c r="D344" s="343">
        <v>42293.00000299768</v>
      </c>
      <c r="E344" s="343">
        <v>43389.00000299768</v>
      </c>
      <c r="F344" s="344">
        <v>500000000</v>
      </c>
      <c r="G344" s="344">
        <v>500000000</v>
      </c>
      <c r="H344" s="341">
        <v>133.5</v>
      </c>
      <c r="I344" s="341">
        <v>88</v>
      </c>
      <c r="J344" s="341">
        <f>VLOOKUP(8436,收盤價!A:C,3,0)</f>
        <v>118</v>
      </c>
      <c r="K344" s="341">
        <v>1136</v>
      </c>
      <c r="L344" s="341">
        <v>132.91200000000001</v>
      </c>
      <c r="M344" s="354">
        <v>-4.4000000000000003E-3</v>
      </c>
    </row>
    <row r="345" spans="1:13">
      <c r="A345" s="342" t="s">
        <v>2946</v>
      </c>
      <c r="B345" s="342" t="s">
        <v>522</v>
      </c>
      <c r="C345" s="342">
        <v>84501</v>
      </c>
      <c r="D345" s="343">
        <v>42198.00000299768</v>
      </c>
      <c r="E345" s="343">
        <v>43294.00000299768</v>
      </c>
      <c r="F345" s="344">
        <v>600000000</v>
      </c>
      <c r="G345" s="344">
        <v>597000000</v>
      </c>
      <c r="H345" s="341">
        <v>98</v>
      </c>
      <c r="I345" s="341">
        <v>86</v>
      </c>
      <c r="J345" s="341">
        <f>VLOOKUP(8450,收盤價!A:C,3,0)</f>
        <v>81.3</v>
      </c>
      <c r="K345" s="341">
        <v>1163</v>
      </c>
      <c r="L345" s="341">
        <v>100</v>
      </c>
      <c r="M345" s="354">
        <v>2.0400000000000001E-2</v>
      </c>
    </row>
    <row r="346" spans="1:13">
      <c r="A346" s="342" t="s">
        <v>2947</v>
      </c>
      <c r="B346" s="342" t="s">
        <v>527</v>
      </c>
      <c r="C346" s="342">
        <v>89274</v>
      </c>
      <c r="D346" s="343">
        <v>41271.000002997687</v>
      </c>
      <c r="E346" s="343">
        <v>42366.00000299768</v>
      </c>
      <c r="F346" s="344">
        <v>200000000</v>
      </c>
      <c r="G346" s="344">
        <v>52700000</v>
      </c>
      <c r="H346" s="341">
        <v>99.8</v>
      </c>
      <c r="I346" s="341">
        <v>12.88</v>
      </c>
      <c r="J346" s="341">
        <f>VLOOKUP(8927,收盤價!A:C,3,0)</f>
        <v>9.8000000000000007</v>
      </c>
      <c r="K346" s="341">
        <v>7764</v>
      </c>
      <c r="L346" s="341">
        <v>100</v>
      </c>
      <c r="M346" s="354">
        <v>2E-3</v>
      </c>
    </row>
    <row r="347" spans="1:13">
      <c r="A347" s="342" t="s">
        <v>2948</v>
      </c>
      <c r="B347" s="342" t="s">
        <v>1842</v>
      </c>
      <c r="C347" s="342">
        <v>89332</v>
      </c>
      <c r="D347" s="343">
        <v>41683.000002997687</v>
      </c>
      <c r="E347" s="343">
        <v>43509.00000299768</v>
      </c>
      <c r="F347" s="344">
        <v>200000000</v>
      </c>
      <c r="G347" s="344">
        <v>200000000</v>
      </c>
      <c r="H347" s="341">
        <v>106</v>
      </c>
      <c r="I347" s="341">
        <v>18.5</v>
      </c>
      <c r="J347" s="341">
        <f>VLOOKUP(8933,收盤價!A:C,3,0)</f>
        <v>14.85</v>
      </c>
      <c r="K347" s="341">
        <v>5405</v>
      </c>
      <c r="L347" s="341">
        <v>100</v>
      </c>
      <c r="M347" s="354">
        <v>-5.6599999999999998E-2</v>
      </c>
    </row>
    <row r="348" spans="1:13">
      <c r="A348" s="342" t="s">
        <v>2948</v>
      </c>
      <c r="B348" s="342" t="s">
        <v>1842</v>
      </c>
      <c r="C348" s="342">
        <v>89333</v>
      </c>
      <c r="D348" s="343">
        <v>41684.000002997687</v>
      </c>
      <c r="E348" s="343">
        <v>43510.00000299768</v>
      </c>
      <c r="F348" s="344">
        <v>100000000</v>
      </c>
      <c r="G348" s="344">
        <v>100000000</v>
      </c>
      <c r="H348" s="341">
        <v>104</v>
      </c>
      <c r="I348" s="341">
        <v>18.5</v>
      </c>
      <c r="J348" s="341">
        <f>VLOOKUP(8933,收盤價!A:C,3,0)</f>
        <v>14.85</v>
      </c>
      <c r="K348" s="341">
        <v>5405</v>
      </c>
      <c r="L348" s="341">
        <v>100</v>
      </c>
      <c r="M348" s="354">
        <v>-3.85E-2</v>
      </c>
    </row>
    <row r="349" spans="1:13">
      <c r="A349" s="342" t="s">
        <v>2949</v>
      </c>
      <c r="B349" s="342" t="s">
        <v>2258</v>
      </c>
      <c r="C349" s="342">
        <v>89364</v>
      </c>
      <c r="D349" s="343">
        <v>42025.00000299768</v>
      </c>
      <c r="E349" s="343">
        <v>43121.00000299768</v>
      </c>
      <c r="F349" s="344">
        <v>600000000</v>
      </c>
      <c r="G349" s="344">
        <v>600000000</v>
      </c>
      <c r="H349" s="341">
        <v>105.5</v>
      </c>
      <c r="I349" s="341">
        <v>49.9</v>
      </c>
      <c r="J349" s="341">
        <f>VLOOKUP(8936,收盤價!A:C,3,0)</f>
        <v>35.9</v>
      </c>
      <c r="K349" s="341">
        <v>2004</v>
      </c>
      <c r="L349" s="341">
        <v>100</v>
      </c>
      <c r="M349" s="354">
        <v>-5.21E-2</v>
      </c>
    </row>
    <row r="350" spans="1:13">
      <c r="A350" s="342" t="s">
        <v>2950</v>
      </c>
      <c r="B350" s="342" t="s">
        <v>1846</v>
      </c>
      <c r="C350" s="342">
        <v>89424</v>
      </c>
      <c r="D350" s="343">
        <v>41032.000002997687</v>
      </c>
      <c r="E350" s="343">
        <v>42858.00000299768</v>
      </c>
      <c r="F350" s="344">
        <v>1200000000</v>
      </c>
      <c r="G350" s="344">
        <v>544600000</v>
      </c>
      <c r="H350" s="341">
        <v>181</v>
      </c>
      <c r="I350" s="341">
        <v>55.4</v>
      </c>
      <c r="J350" s="341">
        <f>VLOOKUP(8942,收盤價!A:C,3,0)</f>
        <v>86.6</v>
      </c>
      <c r="K350" s="341">
        <v>1805</v>
      </c>
      <c r="L350" s="341">
        <v>153.42500000000001</v>
      </c>
      <c r="M350" s="354">
        <v>-0.15229999999999999</v>
      </c>
    </row>
    <row r="351" spans="1:13">
      <c r="A351" s="342" t="s">
        <v>2951</v>
      </c>
      <c r="B351" s="342" t="s">
        <v>2952</v>
      </c>
      <c r="C351" s="342">
        <v>89963</v>
      </c>
      <c r="D351" s="343">
        <v>41500.000002997687</v>
      </c>
      <c r="E351" s="343">
        <v>43326.00000299768</v>
      </c>
      <c r="F351" s="344">
        <v>100000000</v>
      </c>
      <c r="G351" s="344">
        <v>62100000</v>
      </c>
      <c r="H351" s="341">
        <v>101.35</v>
      </c>
      <c r="I351" s="341">
        <v>66.099999999999994</v>
      </c>
      <c r="J351" s="341">
        <f>VLOOKUP(8996,收盤價!A:C,3,0)</f>
        <v>40.799999999999997</v>
      </c>
      <c r="K351" s="341">
        <v>1513</v>
      </c>
      <c r="L351" s="341">
        <v>100</v>
      </c>
      <c r="M351" s="354">
        <v>-1.3299999999999999E-2</v>
      </c>
    </row>
    <row r="352" spans="1:13">
      <c r="A352" s="342" t="s">
        <v>2953</v>
      </c>
      <c r="B352" s="342" t="s">
        <v>2954</v>
      </c>
      <c r="C352" s="342">
        <v>98021</v>
      </c>
      <c r="D352" s="343">
        <v>41572.000002997687</v>
      </c>
      <c r="E352" s="343">
        <v>42668.00000299768</v>
      </c>
      <c r="F352" s="344">
        <v>100000000</v>
      </c>
      <c r="G352" s="344">
        <v>21900000</v>
      </c>
      <c r="H352" s="341">
        <v>170</v>
      </c>
      <c r="I352" s="341">
        <v>33.200000000000003</v>
      </c>
      <c r="J352" s="341">
        <f>VLOOKUP(9802,收盤價!A:C,3,0)</f>
        <v>52</v>
      </c>
      <c r="K352" s="341">
        <v>3012</v>
      </c>
      <c r="L352" s="341">
        <v>157.52760000000001</v>
      </c>
      <c r="M352" s="354">
        <v>-7.3400000000000007E-2</v>
      </c>
    </row>
    <row r="353" spans="1:13">
      <c r="A353" s="342" t="s">
        <v>2953</v>
      </c>
      <c r="B353" s="342" t="s">
        <v>2954</v>
      </c>
      <c r="C353" s="342">
        <v>98022</v>
      </c>
      <c r="D353" s="343">
        <v>41575.000002997687</v>
      </c>
      <c r="E353" s="343">
        <v>42671.00000299768</v>
      </c>
      <c r="F353" s="344">
        <v>400000000</v>
      </c>
      <c r="G353" s="344">
        <v>27300000</v>
      </c>
      <c r="H353" s="341">
        <v>159</v>
      </c>
      <c r="I353" s="341">
        <v>32.5</v>
      </c>
      <c r="J353" s="341">
        <f>VLOOKUP(9802,收盤價!A:C,3,0)</f>
        <v>52</v>
      </c>
      <c r="K353" s="341">
        <v>3077</v>
      </c>
      <c r="L353" s="341">
        <v>160.92709999999997</v>
      </c>
      <c r="M353" s="354">
        <v>1.21E-2</v>
      </c>
    </row>
    <row r="354" spans="1:13">
      <c r="A354" s="342" t="s">
        <v>2955</v>
      </c>
      <c r="B354" s="342" t="s">
        <v>2956</v>
      </c>
      <c r="C354" s="342">
        <v>99342</v>
      </c>
      <c r="D354" s="343">
        <v>40836.000002997687</v>
      </c>
      <c r="E354" s="343">
        <v>43028.00000299768</v>
      </c>
      <c r="F354" s="344">
        <v>1650000000</v>
      </c>
      <c r="G354" s="344">
        <v>202800000</v>
      </c>
      <c r="H354" s="341">
        <v>106</v>
      </c>
      <c r="I354" s="341">
        <v>17.100000000000001</v>
      </c>
      <c r="J354" s="341">
        <f>VLOOKUP(9934,收盤價!A:C,3,0)</f>
        <v>14.3</v>
      </c>
      <c r="K354" s="341">
        <v>5848</v>
      </c>
      <c r="L354" s="341">
        <v>100</v>
      </c>
      <c r="M354" s="354">
        <v>-5.6599999999999998E-2</v>
      </c>
    </row>
    <row r="355" spans="1:13">
      <c r="A355" s="342" t="s">
        <v>2957</v>
      </c>
      <c r="B355" s="342" t="s">
        <v>2958</v>
      </c>
      <c r="C355" s="342">
        <v>99391</v>
      </c>
      <c r="D355" s="343">
        <v>40739.000002997687</v>
      </c>
      <c r="E355" s="343">
        <v>42566.00000299768</v>
      </c>
      <c r="F355" s="344">
        <v>1000000000</v>
      </c>
      <c r="G355" s="344">
        <v>575500000</v>
      </c>
      <c r="H355" s="341">
        <v>99.75</v>
      </c>
      <c r="I355" s="341">
        <v>71.900000000000006</v>
      </c>
      <c r="J355" s="341">
        <f>VLOOKUP(9939,收盤價!A:C,3,0)</f>
        <v>47.7</v>
      </c>
      <c r="K355" s="341">
        <v>1391</v>
      </c>
      <c r="L355" s="341">
        <v>100</v>
      </c>
      <c r="M355" s="354">
        <v>2.5000000000000001E-3</v>
      </c>
    </row>
    <row r="356" spans="1:13">
      <c r="A356" s="342" t="s">
        <v>2959</v>
      </c>
      <c r="B356" s="342" t="s">
        <v>2960</v>
      </c>
      <c r="C356" s="342">
        <v>99411</v>
      </c>
      <c r="D356" s="343">
        <v>41080.000002997687</v>
      </c>
      <c r="E356" s="343">
        <v>42906.00000299768</v>
      </c>
      <c r="F356" s="344">
        <v>2500000000</v>
      </c>
      <c r="G356" s="344">
        <v>386400000</v>
      </c>
      <c r="H356" s="341">
        <v>124.1</v>
      </c>
      <c r="I356" s="341">
        <v>59.21</v>
      </c>
      <c r="J356" s="341">
        <f>VLOOKUP(9941,收盤價!A:C,3,0)</f>
        <v>74.3</v>
      </c>
      <c r="K356" s="341">
        <v>1689</v>
      </c>
      <c r="L356" s="341">
        <v>124.31039999999999</v>
      </c>
      <c r="M356" s="354">
        <v>1.6999999999999999E-3</v>
      </c>
    </row>
    <row r="357" spans="1:13">
      <c r="A357" s="342" t="s">
        <v>2961</v>
      </c>
      <c r="B357" s="342" t="s">
        <v>2962</v>
      </c>
      <c r="C357" s="342">
        <v>99442</v>
      </c>
      <c r="D357" s="343">
        <v>41710.000002997687</v>
      </c>
      <c r="E357" s="343">
        <v>42806.00000299768</v>
      </c>
      <c r="F357" s="344">
        <v>350000000</v>
      </c>
      <c r="G357" s="344">
        <v>149100000</v>
      </c>
      <c r="H357" s="341">
        <v>107</v>
      </c>
      <c r="I357" s="341">
        <v>25.1</v>
      </c>
      <c r="J357" s="341">
        <f>VLOOKUP(9944,收盤價!A:C,3,0)</f>
        <v>25</v>
      </c>
      <c r="K357" s="341">
        <v>3984</v>
      </c>
      <c r="L357" s="341">
        <v>100.79519999999999</v>
      </c>
      <c r="M357" s="354">
        <v>-5.8000000000000003E-2</v>
      </c>
    </row>
    <row r="358" spans="1:13">
      <c r="A358" s="342" t="s">
        <v>2963</v>
      </c>
      <c r="B358" s="342" t="s">
        <v>2964</v>
      </c>
      <c r="C358" s="342">
        <v>99451</v>
      </c>
      <c r="D358" s="343">
        <v>40556.000002997687</v>
      </c>
      <c r="E358" s="343">
        <v>42382.00000299768</v>
      </c>
      <c r="F358" s="344">
        <v>3000000000</v>
      </c>
      <c r="G358" s="344">
        <v>49200000</v>
      </c>
      <c r="H358" s="341">
        <v>115</v>
      </c>
      <c r="I358" s="341">
        <v>37.700000000000003</v>
      </c>
      <c r="J358" s="341">
        <f>VLOOKUP(9945,收盤價!A:C,3,0)</f>
        <v>43.6</v>
      </c>
      <c r="K358" s="341">
        <v>2653</v>
      </c>
      <c r="L358" s="341">
        <v>115.93610000000001</v>
      </c>
      <c r="M358" s="354">
        <v>8.0999999999999996E-3</v>
      </c>
    </row>
  </sheetData>
  <sortState ref="A2:M357">
    <sortCondition ref="A1:A357"/>
  </sortState>
  <phoneticPr fontId="2" type="noConversion"/>
  <pageMargins left="0.7" right="0.7" top="0.75" bottom="0.75" header="0.3" footer="0.3"/>
  <legacyDrawing r:id="rId1"/>
  <controls>
    <control shapeId="74753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工作表9"/>
  <dimension ref="A1:P85"/>
  <sheetViews>
    <sheetView zoomScaleNormal="100" workbookViewId="0">
      <pane xSplit="5" ySplit="20" topLeftCell="F21" activePane="bottomRight" state="frozen"/>
      <selection pane="topRight" activeCell="F1" sqref="F1"/>
      <selection pane="bottomLeft" activeCell="A20" sqref="A20"/>
      <selection pane="bottomRight" activeCell="H22" sqref="H22"/>
    </sheetView>
  </sheetViews>
  <sheetFormatPr defaultRowHeight="16.5"/>
  <cols>
    <col min="1" max="1" width="7.5" style="294" customWidth="1"/>
    <col min="2" max="2" width="53.375" customWidth="1"/>
    <col min="3" max="4" width="12.625" customWidth="1"/>
    <col min="5" max="5" width="2.375" style="3" customWidth="1"/>
    <col min="6" max="6" width="9.5" style="303" bestFit="1" customWidth="1"/>
    <col min="7" max="7" width="9" style="302"/>
    <col min="8" max="8" width="11.625" style="302" bestFit="1" customWidth="1"/>
  </cols>
  <sheetData>
    <row r="1" spans="1:8" ht="19.5">
      <c r="A1" s="416" t="s">
        <v>1970</v>
      </c>
      <c r="B1" s="416"/>
      <c r="C1" s="416"/>
      <c r="D1" s="416"/>
      <c r="E1" s="321"/>
      <c r="F1" s="415" t="s">
        <v>2061</v>
      </c>
      <c r="G1" s="415"/>
      <c r="H1" s="415"/>
    </row>
    <row r="2" spans="1:8" ht="19.5">
      <c r="A2" s="416" t="s">
        <v>1971</v>
      </c>
      <c r="B2" s="416"/>
      <c r="C2" s="416"/>
      <c r="D2" s="416"/>
      <c r="E2" s="321"/>
      <c r="F2" s="415"/>
      <c r="G2" s="415"/>
      <c r="H2" s="415"/>
    </row>
    <row r="3" spans="1:8" ht="20.25" thickBot="1">
      <c r="A3" s="417">
        <f ca="1">TODAY()</f>
        <v>42372</v>
      </c>
      <c r="B3" s="417"/>
      <c r="C3" s="417"/>
      <c r="D3" s="417"/>
      <c r="E3" s="322"/>
      <c r="F3" s="415"/>
      <c r="G3" s="415"/>
      <c r="H3" s="415"/>
    </row>
    <row r="4" spans="1:8" ht="24.75" customHeight="1">
      <c r="A4" s="313" t="s">
        <v>2056</v>
      </c>
      <c r="B4" s="318" t="s">
        <v>2515</v>
      </c>
      <c r="C4" s="418"/>
      <c r="D4" s="419"/>
      <c r="E4" s="322"/>
      <c r="F4" s="304" t="s">
        <v>2053</v>
      </c>
      <c r="G4" s="305" t="s">
        <v>2054</v>
      </c>
      <c r="H4" s="305" t="s">
        <v>2055</v>
      </c>
    </row>
    <row r="5" spans="1:8">
      <c r="A5" s="314" t="s">
        <v>2052</v>
      </c>
      <c r="B5" s="315" t="s">
        <v>2049</v>
      </c>
      <c r="C5" s="315" t="s">
        <v>2051</v>
      </c>
      <c r="D5" s="316" t="s">
        <v>2050</v>
      </c>
      <c r="F5" s="303">
        <v>3152</v>
      </c>
      <c r="G5" s="302" t="s">
        <v>2263</v>
      </c>
      <c r="H5" s="302" t="s">
        <v>2058</v>
      </c>
    </row>
    <row r="6" spans="1:8">
      <c r="A6" s="306" t="s">
        <v>1972</v>
      </c>
      <c r="B6" s="307" t="s">
        <v>2443</v>
      </c>
      <c r="C6" s="339" t="s">
        <v>3016</v>
      </c>
      <c r="D6" s="308"/>
      <c r="F6" s="303">
        <v>8422</v>
      </c>
      <c r="G6" s="302" t="s">
        <v>2057</v>
      </c>
      <c r="H6" s="302" t="s">
        <v>2059</v>
      </c>
    </row>
    <row r="7" spans="1:8">
      <c r="A7" s="306" t="s">
        <v>1973</v>
      </c>
      <c r="B7" s="307" t="s">
        <v>2444</v>
      </c>
      <c r="C7" s="331" t="e">
        <f>VLOOKUP(,RPS!A:F,6,0)</f>
        <v>#N/A</v>
      </c>
      <c r="D7" s="308"/>
      <c r="F7" s="303">
        <v>1597</v>
      </c>
      <c r="G7" s="302" t="s">
        <v>2264</v>
      </c>
      <c r="H7" s="302" t="s">
        <v>2060</v>
      </c>
    </row>
    <row r="8" spans="1:8">
      <c r="A8" s="306" t="s">
        <v>1974</v>
      </c>
      <c r="B8" s="307" t="s">
        <v>2438</v>
      </c>
      <c r="C8" s="331" t="e">
        <f>VLOOKUP(,PSR!A:I,9,0)</f>
        <v>#N/A</v>
      </c>
      <c r="D8" s="308"/>
      <c r="F8" s="303">
        <v>8049</v>
      </c>
      <c r="H8" s="302" t="s">
        <v>2418</v>
      </c>
    </row>
    <row r="9" spans="1:8">
      <c r="A9" s="306" t="s">
        <v>2446</v>
      </c>
      <c r="B9" s="307" t="s">
        <v>2445</v>
      </c>
      <c r="C9" s="331" t="e">
        <f>VLOOKUP(,葛林公式!A:L,12,0)</f>
        <v>#N/A</v>
      </c>
      <c r="D9" s="308"/>
      <c r="F9" s="303">
        <v>1788</v>
      </c>
      <c r="H9" s="302" t="s">
        <v>2419</v>
      </c>
    </row>
    <row r="10" spans="1:8">
      <c r="A10" s="309" t="s">
        <v>2447</v>
      </c>
      <c r="B10" s="88" t="s">
        <v>1976</v>
      </c>
      <c r="C10" s="332">
        <v>0</v>
      </c>
      <c r="D10" s="310"/>
      <c r="F10" s="303">
        <v>3152</v>
      </c>
      <c r="H10" s="302" t="s">
        <v>2062</v>
      </c>
    </row>
    <row r="11" spans="1:8">
      <c r="A11" s="309" t="s">
        <v>2448</v>
      </c>
      <c r="B11" s="88" t="s">
        <v>1977</v>
      </c>
      <c r="C11" s="332">
        <f>紅綠燈!R1</f>
        <v>1</v>
      </c>
      <c r="D11" s="310"/>
      <c r="F11" s="303">
        <v>3068</v>
      </c>
      <c r="H11" s="302" t="s">
        <v>2063</v>
      </c>
    </row>
    <row r="12" spans="1:8">
      <c r="A12" s="309" t="s">
        <v>2449</v>
      </c>
      <c r="B12" s="88" t="s">
        <v>2416</v>
      </c>
      <c r="C12" s="332">
        <f>紅綠燈!U63</f>
        <v>0.51939999999999997</v>
      </c>
      <c r="D12" s="310"/>
      <c r="F12" s="303">
        <v>3044</v>
      </c>
      <c r="H12" s="302" t="s">
        <v>2064</v>
      </c>
    </row>
    <row r="13" spans="1:8">
      <c r="A13" s="309" t="s">
        <v>2450</v>
      </c>
      <c r="B13" s="88" t="s">
        <v>2415</v>
      </c>
      <c r="C13" s="333">
        <v>-0.10165745856353603</v>
      </c>
      <c r="D13" s="310"/>
      <c r="F13" s="303">
        <v>5388</v>
      </c>
      <c r="H13" s="302" t="s">
        <v>2065</v>
      </c>
    </row>
    <row r="14" spans="1:8">
      <c r="A14" s="309" t="s">
        <v>2451</v>
      </c>
      <c r="B14" s="88" t="s">
        <v>2414</v>
      </c>
      <c r="C14" s="332">
        <f>紅綠燈!V35</f>
        <v>1.1638733705772812</v>
      </c>
      <c r="D14" s="310"/>
      <c r="F14" s="303">
        <v>1568</v>
      </c>
      <c r="H14" s="302" t="s">
        <v>2066</v>
      </c>
    </row>
    <row r="15" spans="1:8">
      <c r="A15" s="311" t="s">
        <v>2452</v>
      </c>
      <c r="B15" s="89" t="s">
        <v>2439</v>
      </c>
      <c r="C15" s="334"/>
      <c r="D15" s="312"/>
      <c r="H15" s="302" t="s">
        <v>2067</v>
      </c>
    </row>
    <row r="16" spans="1:8">
      <c r="A16" s="311" t="s">
        <v>2453</v>
      </c>
      <c r="B16" s="319" t="s">
        <v>2440</v>
      </c>
      <c r="C16" s="335"/>
      <c r="D16" s="312"/>
      <c r="H16" s="302" t="s">
        <v>2068</v>
      </c>
    </row>
    <row r="17" spans="1:16">
      <c r="A17" s="311" t="s">
        <v>2454</v>
      </c>
      <c r="B17" s="89" t="s">
        <v>2441</v>
      </c>
      <c r="C17" s="335"/>
      <c r="D17" s="312"/>
      <c r="H17" s="302" t="s">
        <v>2413</v>
      </c>
    </row>
    <row r="18" spans="1:16">
      <c r="A18" s="329" t="s">
        <v>2455</v>
      </c>
      <c r="B18" s="86" t="s">
        <v>2442</v>
      </c>
      <c r="C18" s="336"/>
      <c r="D18" s="330"/>
    </row>
    <row r="19" spans="1:16">
      <c r="A19" s="327" t="s">
        <v>2420</v>
      </c>
      <c r="B19" s="324" t="s">
        <v>2422</v>
      </c>
      <c r="C19" s="337"/>
      <c r="D19" s="328"/>
    </row>
    <row r="20" spans="1:16" ht="17.25" thickBot="1">
      <c r="A20" s="325" t="s">
        <v>2421</v>
      </c>
      <c r="B20" s="324" t="s">
        <v>2423</v>
      </c>
      <c r="C20" s="338"/>
      <c r="D20" s="326"/>
    </row>
    <row r="21" spans="1:16" ht="17.25" thickBot="1">
      <c r="A21" s="420" t="s">
        <v>2045</v>
      </c>
      <c r="B21" s="422"/>
      <c r="C21" s="422"/>
      <c r="D21" s="421"/>
    </row>
    <row r="22" spans="1:16" ht="279.75" customHeight="1" thickBot="1">
      <c r="A22" s="423" t="s">
        <v>2417</v>
      </c>
      <c r="B22" s="424"/>
      <c r="C22" s="424"/>
      <c r="D22" s="425"/>
    </row>
    <row r="23" spans="1:16" ht="17.25" thickBot="1">
      <c r="A23" s="420" t="s">
        <v>2069</v>
      </c>
      <c r="B23" s="421"/>
      <c r="C23" s="299" t="s">
        <v>2046</v>
      </c>
      <c r="D23" s="301">
        <v>83.4</v>
      </c>
    </row>
    <row r="24" spans="1:16">
      <c r="A24" s="409"/>
      <c r="B24" s="410"/>
      <c r="C24" s="295" t="s">
        <v>2047</v>
      </c>
      <c r="D24" s="296"/>
    </row>
    <row r="25" spans="1:16">
      <c r="A25" s="411"/>
      <c r="B25" s="412"/>
      <c r="C25" s="297" t="s">
        <v>2047</v>
      </c>
      <c r="D25" s="298"/>
    </row>
    <row r="26" spans="1:16">
      <c r="A26" s="411"/>
      <c r="B26" s="412"/>
      <c r="C26" s="297" t="s">
        <v>2047</v>
      </c>
      <c r="D26" s="298"/>
    </row>
    <row r="27" spans="1:16">
      <c r="A27" s="411"/>
      <c r="B27" s="412"/>
      <c r="C27" s="297" t="s">
        <v>2047</v>
      </c>
      <c r="D27" s="298"/>
    </row>
    <row r="28" spans="1:16" ht="17.25" thickBot="1">
      <c r="A28" s="411"/>
      <c r="B28" s="412"/>
      <c r="C28" s="297" t="s">
        <v>2047</v>
      </c>
      <c r="D28" s="298"/>
      <c r="I28" s="302"/>
      <c r="J28" s="302"/>
      <c r="K28" s="302"/>
      <c r="L28" s="302"/>
      <c r="M28" s="302"/>
      <c r="N28" s="302"/>
      <c r="O28" s="302"/>
      <c r="P28" s="302"/>
    </row>
    <row r="29" spans="1:16" ht="17.25" thickBot="1">
      <c r="A29" s="413"/>
      <c r="B29" s="414"/>
      <c r="C29" s="299" t="s">
        <v>2048</v>
      </c>
      <c r="D29" s="300"/>
      <c r="I29" s="302"/>
      <c r="J29" s="302"/>
      <c r="K29" s="302"/>
      <c r="L29" s="302"/>
      <c r="M29" s="302"/>
      <c r="N29" s="302"/>
      <c r="O29" s="302"/>
      <c r="P29" s="302"/>
    </row>
    <row r="30" spans="1:16" s="3" customFormat="1">
      <c r="A30" s="45"/>
      <c r="F30" s="323"/>
      <c r="G30" s="45"/>
      <c r="H30" s="45"/>
    </row>
    <row r="31" spans="1:16" s="3" customFormat="1">
      <c r="A31" s="45"/>
      <c r="F31" s="323"/>
      <c r="G31" s="45"/>
      <c r="H31" s="45"/>
    </row>
    <row r="32" spans="1:16" s="3" customFormat="1">
      <c r="A32" s="45"/>
      <c r="F32" s="323"/>
      <c r="G32" s="45"/>
      <c r="H32" s="45"/>
    </row>
    <row r="33" spans="1:8" s="3" customFormat="1">
      <c r="A33" s="45"/>
      <c r="F33" s="323"/>
      <c r="G33" s="45"/>
      <c r="H33" s="45"/>
    </row>
    <row r="34" spans="1:8" s="3" customFormat="1">
      <c r="A34" s="45"/>
      <c r="F34" s="323"/>
      <c r="G34" s="45"/>
      <c r="H34" s="45"/>
    </row>
    <row r="35" spans="1:8" s="3" customFormat="1">
      <c r="A35" s="45"/>
      <c r="F35" s="323"/>
      <c r="G35" s="45"/>
      <c r="H35" s="45"/>
    </row>
    <row r="36" spans="1:8" s="3" customFormat="1">
      <c r="A36" s="45"/>
      <c r="F36" s="323"/>
      <c r="G36" s="45"/>
      <c r="H36" s="45"/>
    </row>
    <row r="37" spans="1:8" s="3" customFormat="1">
      <c r="A37" s="45"/>
      <c r="F37" s="323"/>
      <c r="G37" s="45"/>
      <c r="H37" s="45"/>
    </row>
    <row r="38" spans="1:8" s="3" customFormat="1">
      <c r="A38" s="45"/>
      <c r="F38" s="323"/>
      <c r="G38" s="45"/>
      <c r="H38" s="45"/>
    </row>
    <row r="39" spans="1:8" s="3" customFormat="1">
      <c r="A39" s="45"/>
      <c r="F39" s="323"/>
      <c r="G39" s="45"/>
      <c r="H39" s="45"/>
    </row>
    <row r="40" spans="1:8" s="3" customFormat="1">
      <c r="A40" s="45"/>
      <c r="F40" s="323"/>
      <c r="G40" s="45"/>
      <c r="H40" s="45"/>
    </row>
    <row r="41" spans="1:8" s="3" customFormat="1">
      <c r="A41" s="45"/>
      <c r="F41" s="323"/>
      <c r="G41" s="45"/>
      <c r="H41" s="45"/>
    </row>
    <row r="42" spans="1:8" s="3" customFormat="1">
      <c r="A42" s="45"/>
      <c r="F42" s="323"/>
      <c r="G42" s="45"/>
      <c r="H42" s="45"/>
    </row>
    <row r="43" spans="1:8" s="3" customFormat="1">
      <c r="A43" s="45"/>
      <c r="F43" s="323"/>
      <c r="G43" s="45"/>
      <c r="H43" s="45"/>
    </row>
    <row r="44" spans="1:8" s="3" customFormat="1">
      <c r="A44" s="45"/>
      <c r="F44" s="323"/>
      <c r="G44" s="45"/>
      <c r="H44" s="45"/>
    </row>
    <row r="45" spans="1:8" s="3" customFormat="1">
      <c r="A45" s="45"/>
      <c r="F45" s="323"/>
      <c r="G45" s="45"/>
      <c r="H45" s="45"/>
    </row>
    <row r="46" spans="1:8" s="3" customFormat="1">
      <c r="A46" s="45"/>
      <c r="F46" s="323"/>
      <c r="G46" s="45"/>
      <c r="H46" s="45"/>
    </row>
    <row r="47" spans="1:8" s="3" customFormat="1">
      <c r="A47" s="45"/>
      <c r="F47" s="323"/>
      <c r="G47" s="45"/>
      <c r="H47" s="45"/>
    </row>
    <row r="48" spans="1:8" s="3" customFormat="1">
      <c r="A48" s="45"/>
      <c r="F48" s="323"/>
      <c r="G48" s="45"/>
      <c r="H48" s="45"/>
    </row>
    <row r="49" spans="1:8" s="3" customFormat="1">
      <c r="A49" s="45"/>
      <c r="F49" s="323"/>
      <c r="G49" s="45"/>
      <c r="H49" s="45"/>
    </row>
    <row r="50" spans="1:8" s="3" customFormat="1">
      <c r="A50" s="45"/>
      <c r="F50" s="323"/>
      <c r="G50" s="45"/>
      <c r="H50" s="45"/>
    </row>
    <row r="51" spans="1:8" s="3" customFormat="1">
      <c r="A51" s="45"/>
      <c r="F51" s="323"/>
      <c r="G51" s="45"/>
      <c r="H51" s="45"/>
    </row>
    <row r="52" spans="1:8" s="3" customFormat="1">
      <c r="A52" s="45"/>
      <c r="F52" s="323"/>
      <c r="G52" s="45"/>
      <c r="H52" s="45"/>
    </row>
    <row r="53" spans="1:8" s="3" customFormat="1">
      <c r="A53" s="45"/>
      <c r="F53" s="323"/>
      <c r="G53" s="45"/>
      <c r="H53" s="45"/>
    </row>
    <row r="54" spans="1:8" s="3" customFormat="1">
      <c r="A54" s="45"/>
      <c r="F54" s="323"/>
      <c r="G54" s="45"/>
      <c r="H54" s="45"/>
    </row>
    <row r="55" spans="1:8" s="3" customFormat="1">
      <c r="A55" s="45"/>
      <c r="F55" s="323"/>
      <c r="G55" s="45"/>
      <c r="H55" s="45"/>
    </row>
    <row r="56" spans="1:8" s="3" customFormat="1">
      <c r="A56" s="45"/>
      <c r="F56" s="323"/>
      <c r="G56" s="45"/>
      <c r="H56" s="45"/>
    </row>
    <row r="57" spans="1:8" s="3" customFormat="1">
      <c r="A57" s="45"/>
      <c r="F57" s="323"/>
      <c r="G57" s="45"/>
      <c r="H57" s="45"/>
    </row>
    <row r="58" spans="1:8" s="3" customFormat="1">
      <c r="A58" s="45"/>
      <c r="F58" s="323"/>
      <c r="G58" s="45"/>
      <c r="H58" s="45"/>
    </row>
    <row r="59" spans="1:8" s="3" customFormat="1">
      <c r="A59" s="45"/>
      <c r="F59" s="323"/>
      <c r="G59" s="45"/>
      <c r="H59" s="45"/>
    </row>
    <row r="60" spans="1:8" s="3" customFormat="1">
      <c r="A60" s="45"/>
      <c r="F60" s="323"/>
      <c r="G60" s="45"/>
      <c r="H60" s="45"/>
    </row>
    <row r="61" spans="1:8" s="3" customFormat="1">
      <c r="A61" s="45"/>
      <c r="F61" s="323"/>
      <c r="G61" s="45"/>
      <c r="H61" s="45"/>
    </row>
    <row r="62" spans="1:8" s="3" customFormat="1">
      <c r="A62" s="45"/>
      <c r="F62" s="323"/>
      <c r="G62" s="45"/>
      <c r="H62" s="45"/>
    </row>
    <row r="63" spans="1:8" s="3" customFormat="1">
      <c r="A63" s="45"/>
      <c r="F63" s="323"/>
      <c r="G63" s="45"/>
      <c r="H63" s="45"/>
    </row>
    <row r="64" spans="1:8" s="3" customFormat="1">
      <c r="A64" s="45"/>
      <c r="F64" s="323"/>
      <c r="G64" s="45"/>
      <c r="H64" s="45"/>
    </row>
    <row r="65" spans="1:15" s="3" customFormat="1">
      <c r="A65" s="45"/>
      <c r="F65" s="323"/>
      <c r="G65" s="45"/>
      <c r="H65" s="45"/>
    </row>
    <row r="66" spans="1:15" s="3" customFormat="1">
      <c r="A66" s="45"/>
      <c r="F66" s="323"/>
      <c r="G66" s="45"/>
      <c r="H66" s="45"/>
    </row>
    <row r="67" spans="1:15" s="3" customFormat="1">
      <c r="A67" s="45"/>
      <c r="F67" s="323"/>
      <c r="G67" s="45"/>
      <c r="H67" s="45"/>
    </row>
    <row r="68" spans="1:15" s="3" customFormat="1">
      <c r="A68" s="45"/>
      <c r="F68" s="323"/>
      <c r="G68" s="45"/>
      <c r="H68" s="45"/>
    </row>
    <row r="69" spans="1:15" s="3" customFormat="1">
      <c r="A69" s="45"/>
      <c r="F69" s="323"/>
      <c r="G69" s="45"/>
      <c r="H69" s="45"/>
    </row>
    <row r="70" spans="1:15" s="3" customFormat="1">
      <c r="A70" s="45"/>
      <c r="F70" s="323"/>
      <c r="G70" s="45"/>
      <c r="H70" s="45"/>
    </row>
    <row r="71" spans="1:15" s="3" customFormat="1">
      <c r="A71" s="45"/>
      <c r="F71" s="323"/>
      <c r="G71" s="45"/>
      <c r="H71" s="45"/>
      <c r="J71"/>
      <c r="K71"/>
      <c r="L71"/>
      <c r="M71"/>
      <c r="N71"/>
      <c r="O71"/>
    </row>
    <row r="72" spans="1:15" s="3" customFormat="1">
      <c r="A72" s="45"/>
      <c r="F72" s="323"/>
      <c r="G72" s="45"/>
      <c r="H72" s="45"/>
      <c r="J72"/>
      <c r="K72"/>
      <c r="L72"/>
      <c r="M72"/>
      <c r="N72"/>
      <c r="O72"/>
    </row>
    <row r="73" spans="1:15" s="3" customFormat="1">
      <c r="A73" s="45"/>
      <c r="F73" s="323"/>
      <c r="G73" s="45"/>
      <c r="H73" s="45"/>
      <c r="J73"/>
      <c r="K73"/>
      <c r="L73"/>
      <c r="M73"/>
      <c r="N73"/>
      <c r="O73"/>
    </row>
    <row r="74" spans="1:15" s="3" customFormat="1">
      <c r="A74" s="45"/>
      <c r="F74" s="323"/>
      <c r="G74" s="45"/>
      <c r="H74" s="45"/>
      <c r="J74"/>
      <c r="K74"/>
      <c r="L74"/>
      <c r="M74"/>
      <c r="N74"/>
      <c r="O74"/>
    </row>
    <row r="75" spans="1:15" s="3" customFormat="1">
      <c r="A75" s="45"/>
      <c r="F75" s="323"/>
      <c r="G75" s="45"/>
      <c r="H75" s="45"/>
      <c r="J75"/>
      <c r="K75"/>
      <c r="L75"/>
      <c r="M75"/>
      <c r="N75"/>
      <c r="O75"/>
    </row>
    <row r="76" spans="1:15" s="3" customFormat="1">
      <c r="A76" s="45"/>
      <c r="F76" s="323"/>
      <c r="G76" s="45"/>
      <c r="H76" s="45"/>
      <c r="J76"/>
      <c r="K76"/>
      <c r="L76"/>
      <c r="M76"/>
      <c r="N76"/>
      <c r="O76"/>
    </row>
    <row r="77" spans="1:15" s="3" customFormat="1">
      <c r="A77" s="45"/>
      <c r="F77" s="323"/>
      <c r="G77" s="45"/>
      <c r="H77" s="45"/>
      <c r="J77"/>
      <c r="K77"/>
      <c r="L77"/>
      <c r="M77"/>
      <c r="N77"/>
      <c r="O77"/>
    </row>
    <row r="78" spans="1:15" s="3" customFormat="1">
      <c r="A78" s="45"/>
      <c r="F78" s="323"/>
      <c r="G78" s="45"/>
      <c r="H78" s="45"/>
      <c r="J78"/>
      <c r="K78"/>
      <c r="L78"/>
      <c r="M78"/>
      <c r="N78"/>
      <c r="O78"/>
    </row>
    <row r="79" spans="1:15" s="3" customFormat="1">
      <c r="A79" s="45"/>
      <c r="F79" s="323"/>
      <c r="G79" s="45"/>
      <c r="H79" s="45"/>
      <c r="J79"/>
      <c r="K79"/>
      <c r="L79"/>
      <c r="M79"/>
      <c r="N79"/>
      <c r="O79"/>
    </row>
    <row r="80" spans="1:15" s="3" customFormat="1">
      <c r="A80" s="45"/>
      <c r="F80" s="323"/>
      <c r="G80" s="45"/>
      <c r="H80" s="45"/>
      <c r="J80"/>
      <c r="K80"/>
      <c r="L80"/>
      <c r="M80"/>
      <c r="N80"/>
      <c r="O80"/>
    </row>
    <row r="81" spans="1:15" s="3" customFormat="1">
      <c r="A81" s="45"/>
      <c r="F81" s="323"/>
      <c r="G81" s="45"/>
      <c r="H81" s="45"/>
      <c r="J81"/>
      <c r="K81"/>
      <c r="L81"/>
      <c r="M81"/>
      <c r="N81"/>
      <c r="O81"/>
    </row>
    <row r="82" spans="1:15" s="3" customFormat="1">
      <c r="A82" s="45"/>
      <c r="F82" s="323"/>
      <c r="G82" s="45"/>
      <c r="H82" s="45"/>
      <c r="J82"/>
      <c r="K82"/>
      <c r="L82"/>
      <c r="M82"/>
      <c r="N82"/>
      <c r="O82"/>
    </row>
    <row r="83" spans="1:15" s="3" customFormat="1">
      <c r="A83" s="45"/>
      <c r="F83" s="323"/>
      <c r="G83" s="45"/>
      <c r="H83" s="45"/>
      <c r="J83"/>
      <c r="K83"/>
      <c r="L83"/>
      <c r="M83"/>
      <c r="N83"/>
      <c r="O83"/>
    </row>
    <row r="84" spans="1:15" s="3" customFormat="1">
      <c r="A84" s="45"/>
      <c r="F84" s="323"/>
      <c r="G84" s="45"/>
      <c r="H84" s="45"/>
      <c r="J84"/>
      <c r="K84"/>
      <c r="L84"/>
      <c r="M84"/>
      <c r="N84"/>
      <c r="O84"/>
    </row>
    <row r="85" spans="1:15" s="3" customFormat="1">
      <c r="A85" s="45"/>
      <c r="F85" s="323"/>
      <c r="G85" s="45"/>
      <c r="H85" s="45"/>
      <c r="J85"/>
      <c r="K85"/>
      <c r="L85"/>
      <c r="M85"/>
      <c r="N85"/>
      <c r="O85"/>
    </row>
  </sheetData>
  <mergeCells count="9">
    <mergeCell ref="A24:B29"/>
    <mergeCell ref="F1:H3"/>
    <mergeCell ref="A1:D1"/>
    <mergeCell ref="A2:D2"/>
    <mergeCell ref="A3:D3"/>
    <mergeCell ref="C4:D4"/>
    <mergeCell ref="A23:B23"/>
    <mergeCell ref="A21:D21"/>
    <mergeCell ref="A22:D22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62473" r:id="rId3" name="ComboBox3"/>
    <control shapeId="62472" r:id="rId4" name="ComboBox2"/>
    <control shapeId="62470" r:id="rId5" name="ComboBox1"/>
    <control shapeId="62466" r:id="rId6" name="CommandButton1"/>
    <control shapeId="62468" r:id="rId7" name="CommandButton2"/>
    <control shapeId="62474" r:id="rId8" name="CommandButton3"/>
    <control shapeId="62475" r:id="rId9" name="CommandButton4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D評比系統"/>
  <dimension ref="A1:CA71"/>
  <sheetViews>
    <sheetView tabSelected="1" zoomScaleNormal="10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N3" sqref="N3"/>
    </sheetView>
  </sheetViews>
  <sheetFormatPr defaultRowHeight="19.5"/>
  <cols>
    <col min="1" max="1" width="9.625" style="20" customWidth="1"/>
    <col min="2" max="2" width="11.25" style="23" customWidth="1"/>
    <col min="3" max="3" width="6.7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6" customWidth="1"/>
    <col min="20" max="20" width="34.375" bestFit="1" customWidth="1"/>
  </cols>
  <sheetData>
    <row r="1" spans="1:79" ht="26.25" thickBot="1">
      <c r="A1" s="426">
        <f ca="1">NOW()</f>
        <v>42372.608510069447</v>
      </c>
      <c r="B1" s="427"/>
      <c r="C1" s="438" t="s">
        <v>1944</v>
      </c>
      <c r="D1" s="439"/>
      <c r="E1" s="439"/>
      <c r="F1" s="439"/>
      <c r="G1" s="440"/>
      <c r="H1" s="250"/>
      <c r="I1" s="248"/>
      <c r="J1" s="248"/>
      <c r="K1" s="248"/>
      <c r="L1" s="248"/>
      <c r="M1" s="251"/>
      <c r="N1" s="253"/>
      <c r="O1" s="249"/>
      <c r="P1" s="24"/>
      <c r="Q1" s="61"/>
      <c r="R1" s="61"/>
      <c r="S1" s="194"/>
      <c r="T1" s="32"/>
    </row>
    <row r="2" spans="1:79" s="59" customFormat="1" ht="28.5" customHeight="1">
      <c r="A2" s="428" t="s">
        <v>38</v>
      </c>
      <c r="B2" s="429"/>
      <c r="C2" s="430" t="s">
        <v>249</v>
      </c>
      <c r="D2" s="431"/>
      <c r="E2" s="431"/>
      <c r="F2" s="431"/>
      <c r="G2" s="432"/>
      <c r="H2" s="435" t="s">
        <v>252</v>
      </c>
      <c r="I2" s="436"/>
      <c r="J2" s="436"/>
      <c r="K2" s="436"/>
      <c r="L2" s="436"/>
      <c r="M2" s="437"/>
      <c r="N2" s="254" t="s">
        <v>1900</v>
      </c>
      <c r="O2" s="433" t="s">
        <v>1922</v>
      </c>
      <c r="P2" s="433"/>
      <c r="Q2" s="433"/>
      <c r="R2" s="433"/>
      <c r="S2" s="434"/>
      <c r="T2" s="3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</row>
    <row r="3" spans="1:79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2" t="s">
        <v>45</v>
      </c>
      <c r="H3" s="17" t="s">
        <v>37</v>
      </c>
      <c r="I3" s="164" t="s">
        <v>247</v>
      </c>
      <c r="J3" s="165" t="s">
        <v>248</v>
      </c>
      <c r="K3" s="165" t="s">
        <v>250</v>
      </c>
      <c r="L3" s="165" t="s">
        <v>253</v>
      </c>
      <c r="M3" s="166" t="s">
        <v>1899</v>
      </c>
      <c r="N3" s="255" t="s">
        <v>540</v>
      </c>
      <c r="O3" s="69" t="s">
        <v>254</v>
      </c>
      <c r="P3" s="60" t="s">
        <v>255</v>
      </c>
      <c r="Q3" s="60" t="s">
        <v>251</v>
      </c>
      <c r="R3" s="60" t="s">
        <v>1921</v>
      </c>
      <c r="S3" s="195" t="s">
        <v>536</v>
      </c>
      <c r="T3" s="32"/>
    </row>
    <row r="4" spans="1:79">
      <c r="A4" s="448" t="str">
        <f>HYPERLINK("http://www.wantgoo.com/stock/chart.aspx?stockno=1558","1558")</f>
        <v>1558</v>
      </c>
      <c r="C4" s="18">
        <f>VLOOKUP(1558,季財報!A:H,3)</f>
        <v>1</v>
      </c>
      <c r="D4" s="18">
        <f>VLOOKUP(1558,季財報!A:H,4)</f>
        <v>1</v>
      </c>
      <c r="E4" s="18">
        <f>VLOOKUP(1558,季財報!A:H,5)</f>
        <v>2</v>
      </c>
      <c r="F4" s="18">
        <f>VLOOKUP(1558,季財報!A:H,6)</f>
        <v>1</v>
      </c>
      <c r="G4" s="18">
        <f>VLOOKUP(1558,季財報!A:H,7)</f>
        <v>1</v>
      </c>
      <c r="H4" s="20">
        <v>1</v>
      </c>
      <c r="I4" s="20">
        <v>0</v>
      </c>
      <c r="J4" s="20">
        <v>0</v>
      </c>
      <c r="K4" s="20">
        <v>1</v>
      </c>
      <c r="L4" s="20">
        <v>0</v>
      </c>
      <c r="M4" s="58">
        <v>1</v>
      </c>
      <c r="N4" s="20">
        <f>SUM(C4:M4)</f>
        <v>9</v>
      </c>
      <c r="O4" s="19">
        <f>VLOOKUP(1558,收盤價!A:C,3,0)</f>
        <v>137.5</v>
      </c>
      <c r="P4" s="19">
        <f>VLOOKUP(1558,PSR!A:J,10,0)</f>
        <v>7.9547316254018954</v>
      </c>
      <c r="Q4" s="19">
        <f>VLOOKUP(1558,PSR!A:J,9,0)</f>
        <v>1.3455493270826924</v>
      </c>
      <c r="R4" s="19">
        <f>VLOOKUP(1558,葛林公式!A:N,12,0)</f>
        <v>70</v>
      </c>
      <c r="S4" s="196">
        <v>10</v>
      </c>
      <c r="T4" s="32"/>
    </row>
    <row r="5" spans="1:79">
      <c r="A5" s="448" t="str">
        <f>HYPERLINK("http://www.wantgoo.com/stock/chart.aspx?stockno=3376","3376")</f>
        <v>3376</v>
      </c>
      <c r="C5" s="18">
        <f>VLOOKUP(3376,季財報!A:H,3)</f>
        <v>1</v>
      </c>
      <c r="D5" s="18">
        <f>VLOOKUP(3376,季財報!A:H,4)</f>
        <v>1</v>
      </c>
      <c r="E5" s="18">
        <f>VLOOKUP(3376,季財報!A:H,5)</f>
        <v>0</v>
      </c>
      <c r="F5" s="18">
        <f>VLOOKUP(3376,季財報!A:H,6)</f>
        <v>1</v>
      </c>
      <c r="G5" s="18">
        <f>VLOOKUP(3376,季財報!A:H,7)</f>
        <v>1</v>
      </c>
      <c r="H5" s="20">
        <v>1</v>
      </c>
      <c r="I5" s="20">
        <v>1</v>
      </c>
      <c r="J5" s="20">
        <v>0</v>
      </c>
      <c r="K5" s="20">
        <v>1</v>
      </c>
      <c r="L5" s="20">
        <v>0</v>
      </c>
      <c r="M5" s="58">
        <v>1</v>
      </c>
      <c r="N5" s="20">
        <f>SUM(C5:M5)</f>
        <v>8</v>
      </c>
      <c r="O5" s="19">
        <f>VLOOKUP(3376,收盤價!A:C,3,0)</f>
        <v>130</v>
      </c>
      <c r="P5" s="19">
        <f>VLOOKUP(3376,PSR!A:J,10,0)</f>
        <v>12.428250443714361</v>
      </c>
      <c r="Q5" s="19">
        <f>VLOOKUP(3376,PSR!A:J,9,0)</f>
        <v>2.5229643374131547</v>
      </c>
      <c r="R5" s="19">
        <f>VLOOKUP(3376,葛林公式!A:N,12,0)</f>
        <v>290</v>
      </c>
      <c r="S5" s="196">
        <v>10</v>
      </c>
      <c r="T5" s="32"/>
    </row>
    <row r="6" spans="1:79">
      <c r="A6" s="448" t="str">
        <f>HYPERLINK("http://www.wantgoo.com/stock/chart.aspx?stockno=3105","3105")</f>
        <v>3105</v>
      </c>
      <c r="C6" s="18">
        <f>VLOOKUP(3105,季財報!A:H,3)</f>
        <v>1</v>
      </c>
      <c r="D6" s="18">
        <f>VLOOKUP(3105,季財報!A:H,4)</f>
        <v>1</v>
      </c>
      <c r="E6" s="18">
        <f>VLOOKUP(3105,季財報!A:H,5)</f>
        <v>0</v>
      </c>
      <c r="F6" s="18">
        <f>VLOOKUP(3105,季財報!A:H,6)</f>
        <v>1</v>
      </c>
      <c r="G6" s="18">
        <f>VLOOKUP(3105,季財報!A:H,7)</f>
        <v>1</v>
      </c>
      <c r="H6" s="20">
        <v>1</v>
      </c>
      <c r="I6" s="20">
        <v>1</v>
      </c>
      <c r="J6" s="20">
        <v>0</v>
      </c>
      <c r="K6" s="20">
        <v>1</v>
      </c>
      <c r="L6" s="20">
        <v>0</v>
      </c>
      <c r="M6" s="58">
        <v>1</v>
      </c>
      <c r="N6" s="20">
        <f>SUM(C6:M6)</f>
        <v>8</v>
      </c>
      <c r="O6" s="19">
        <f>VLOOKUP(3105,收盤價!A:C,3,0)</f>
        <v>50.2</v>
      </c>
      <c r="P6" s="19">
        <f>VLOOKUP(3105,PSR!A:J,10,0)</f>
        <v>10.255142405063289</v>
      </c>
      <c r="Q6" s="19">
        <f>VLOOKUP(3105,PSR!A:J,9,0)</f>
        <v>2.6902068857753059</v>
      </c>
      <c r="R6" s="19">
        <f>VLOOKUP(3105,葛林公式!A:N,12,0)</f>
        <v>153</v>
      </c>
      <c r="S6" s="196">
        <v>10</v>
      </c>
      <c r="T6" s="32"/>
    </row>
    <row r="7" spans="1:79">
      <c r="A7" s="449" t="str">
        <f>HYPERLINK("http://www.wantgoo.com/stock/chart.aspx?stockno=3693","3693")</f>
        <v>3693</v>
      </c>
      <c r="C7" s="18">
        <f>VLOOKUP(3693,季財報!A:H,3)</f>
        <v>1</v>
      </c>
      <c r="D7" s="18">
        <f>VLOOKUP(3693,季財報!A:H,4)</f>
        <v>1</v>
      </c>
      <c r="E7" s="18">
        <f>VLOOKUP(3693,季財報!A:H,5)</f>
        <v>1</v>
      </c>
      <c r="F7" s="18">
        <f>VLOOKUP(3693,季財報!A:H,6)</f>
        <v>1</v>
      </c>
      <c r="G7" s="18">
        <f>VLOOKUP(3693,季財報!A:H,7)</f>
        <v>0</v>
      </c>
      <c r="H7" s="20">
        <v>1</v>
      </c>
      <c r="I7" s="20">
        <v>0</v>
      </c>
      <c r="J7" s="20">
        <v>0</v>
      </c>
      <c r="K7" s="20">
        <v>1</v>
      </c>
      <c r="L7" s="20">
        <v>0</v>
      </c>
      <c r="M7" s="58">
        <v>1</v>
      </c>
      <c r="N7" s="20">
        <f>SUM(C7:M7)</f>
        <v>7</v>
      </c>
      <c r="O7" s="19">
        <f>VLOOKUP(3693,收盤價!A:C,3,0)</f>
        <v>112</v>
      </c>
      <c r="P7" s="19">
        <f>VLOOKUP(3693,PSR!A:J,10,0)</f>
        <v>12.227070293692824</v>
      </c>
      <c r="Q7" s="19">
        <f>VLOOKUP(3693,PSR!A:J,9,0)</f>
        <v>0.8529532793960547</v>
      </c>
      <c r="R7" s="19">
        <f>VLOOKUP(3693,葛林公式!A:N,12,0)</f>
        <v>277</v>
      </c>
      <c r="S7" s="196">
        <v>10</v>
      </c>
      <c r="T7" s="32"/>
    </row>
    <row r="8" spans="1:79">
      <c r="A8" s="448" t="str">
        <f>HYPERLINK("http://www.wantgoo.com/stock/chart.aspx?stockno=3044","3044")</f>
        <v>3044</v>
      </c>
      <c r="C8" s="18">
        <f>VLOOKUP(3044,季財報!A:H,3)</f>
        <v>1</v>
      </c>
      <c r="D8" s="18">
        <f>VLOOKUP(3044,季財報!A:H,4)</f>
        <v>1</v>
      </c>
      <c r="E8" s="18">
        <f>VLOOKUP(3044,季財報!A:H,5)</f>
        <v>1</v>
      </c>
      <c r="F8" s="18">
        <f>VLOOKUP(3044,季財報!A:H,6)</f>
        <v>1</v>
      </c>
      <c r="G8" s="18">
        <f>VLOOKUP(3044,季財報!A:H,7)</f>
        <v>0</v>
      </c>
      <c r="H8" s="20">
        <v>1</v>
      </c>
      <c r="I8" s="20">
        <v>0</v>
      </c>
      <c r="J8" s="20">
        <v>0</v>
      </c>
      <c r="K8" s="20">
        <v>1</v>
      </c>
      <c r="L8" s="20">
        <v>0</v>
      </c>
      <c r="M8" s="58">
        <v>1</v>
      </c>
      <c r="N8" s="20">
        <f>SUM(C8:M8)</f>
        <v>7</v>
      </c>
      <c r="O8" s="19">
        <f>VLOOKUP(3044,收盤價!A:C,3,0)</f>
        <v>56.3</v>
      </c>
      <c r="P8" s="19">
        <f>VLOOKUP(3044,PSR!A:J,10,0)</f>
        <v>10.949077550005955</v>
      </c>
      <c r="Q8" s="19">
        <f>VLOOKUP(3044,PSR!A:J,9,0)</f>
        <v>0.69653067077652087</v>
      </c>
      <c r="R8" s="19">
        <f>VLOOKUP(3044,葛林公式!A:N,12,0)</f>
        <v>510</v>
      </c>
      <c r="S8" s="196">
        <v>10</v>
      </c>
      <c r="T8" s="32"/>
    </row>
    <row r="9" spans="1:79">
      <c r="A9" s="449" t="str">
        <f>HYPERLINK("http://www.wantgoo.com/stock/chart.aspx?stockno=3501","3501")</f>
        <v>3501</v>
      </c>
      <c r="C9" s="18">
        <f>VLOOKUP(3501,季財報!A:H,3)</f>
        <v>1</v>
      </c>
      <c r="D9" s="18">
        <f>VLOOKUP(3501,季財報!A:H,4)</f>
        <v>1</v>
      </c>
      <c r="E9" s="18">
        <f>VLOOKUP(3501,季財報!A:H,5)</f>
        <v>1</v>
      </c>
      <c r="F9" s="18">
        <f>VLOOKUP(3501,季財報!A:H,6)</f>
        <v>1</v>
      </c>
      <c r="G9" s="18">
        <f>VLOOKUP(3501,季財報!A:H,7)</f>
        <v>0</v>
      </c>
      <c r="H9" s="20">
        <v>1</v>
      </c>
      <c r="I9" s="20">
        <v>0</v>
      </c>
      <c r="J9" s="20">
        <v>0</v>
      </c>
      <c r="K9" s="20">
        <v>1</v>
      </c>
      <c r="L9" s="20">
        <v>0</v>
      </c>
      <c r="M9" s="58">
        <v>1</v>
      </c>
      <c r="N9" s="20">
        <f>SUM(C9:M9)</f>
        <v>7</v>
      </c>
      <c r="O9" s="19">
        <f>VLOOKUP(3501,收盤價!A:C,3,0)</f>
        <v>52.8</v>
      </c>
      <c r="P9" s="19">
        <f>VLOOKUP(3501,PSR!A:J,10,0)</f>
        <v>10.957792207792208</v>
      </c>
      <c r="Q9" s="19">
        <f>VLOOKUP(3501,PSR!A:J,9,0)</f>
        <v>1.1240044404302927</v>
      </c>
      <c r="R9" s="19">
        <f>VLOOKUP(3501,葛林公式!A:N,12,0)</f>
        <v>290</v>
      </c>
      <c r="S9" s="196">
        <v>9</v>
      </c>
      <c r="T9" s="32"/>
    </row>
    <row r="10" spans="1:79">
      <c r="A10" s="448" t="str">
        <f>HYPERLINK("http://www.wantgoo.com/stock/chart.aspx?stockno=2493","2493")</f>
        <v>2493</v>
      </c>
      <c r="C10" s="18">
        <f>VLOOKUP(2493,季財報!A:H,3)</f>
        <v>1</v>
      </c>
      <c r="D10" s="18">
        <f>VLOOKUP(2493,季財報!A:H,4)</f>
        <v>1</v>
      </c>
      <c r="E10" s="18">
        <f>VLOOKUP(2493,季財報!A:H,5)</f>
        <v>0</v>
      </c>
      <c r="F10" s="18">
        <f>VLOOKUP(2493,季財報!A:H,6)</f>
        <v>1</v>
      </c>
      <c r="G10" s="18">
        <f>VLOOKUP(2493,季財報!A:H,7)</f>
        <v>1</v>
      </c>
      <c r="H10" s="20">
        <v>1</v>
      </c>
      <c r="I10" s="20">
        <v>0</v>
      </c>
      <c r="J10" s="20">
        <v>0</v>
      </c>
      <c r="K10" s="20">
        <v>1</v>
      </c>
      <c r="L10" s="20">
        <v>0</v>
      </c>
      <c r="M10" s="58">
        <v>1</v>
      </c>
      <c r="N10" s="20">
        <f>SUM(C10:M10)</f>
        <v>7</v>
      </c>
      <c r="O10" s="19">
        <f>VLOOKUP(2493,收盤價!A:C,3,0)</f>
        <v>21.35</v>
      </c>
      <c r="P10" s="19">
        <f>VLOOKUP(2493,PSR!A:J,10,0)</f>
        <v>6.317743524774774</v>
      </c>
      <c r="Q10" s="19">
        <f>VLOOKUP(2493,PSR!A:J,9,0)</f>
        <v>1.0920750229343754</v>
      </c>
      <c r="R10" s="19">
        <f>VLOOKUP(2493,葛林公式!A:N,12,0)</f>
        <v>190</v>
      </c>
      <c r="S10" s="196">
        <v>9</v>
      </c>
      <c r="T10" s="32"/>
    </row>
    <row r="11" spans="1:79">
      <c r="A11" s="448" t="str">
        <f>HYPERLINK("http://www.wantgoo.com/stock/chart.aspx?stockno=3479","3479")</f>
        <v>3479</v>
      </c>
      <c r="C11" s="18">
        <f>VLOOKUP(3479,季財報!A:H,3)</f>
        <v>0</v>
      </c>
      <c r="D11" s="18">
        <f>VLOOKUP(3479,季財報!A:H,4)</f>
        <v>1</v>
      </c>
      <c r="E11" s="18">
        <f>VLOOKUP(3479,季財報!A:H,5)</f>
        <v>2</v>
      </c>
      <c r="F11" s="18">
        <f>VLOOKUP(3479,季財報!A:H,6)</f>
        <v>1</v>
      </c>
      <c r="G11" s="18">
        <f>VLOOKUP(3479,季財報!A:H,7)</f>
        <v>0</v>
      </c>
      <c r="H11" s="20">
        <v>1</v>
      </c>
      <c r="I11" s="20">
        <v>1</v>
      </c>
      <c r="J11" s="20">
        <v>0</v>
      </c>
      <c r="K11" s="20">
        <v>0</v>
      </c>
      <c r="L11" s="20">
        <v>0</v>
      </c>
      <c r="M11" s="58">
        <v>1</v>
      </c>
      <c r="N11" s="20">
        <f>SUM(C11:M11)</f>
        <v>7</v>
      </c>
      <c r="O11" s="19">
        <f>VLOOKUP(3479,收盤價!A:C,3,0)</f>
        <v>60.9</v>
      </c>
      <c r="P11" s="19">
        <f>VLOOKUP(3479,PSR!A:J,10,0)</f>
        <v>12.146006859382656</v>
      </c>
      <c r="Q11" s="19">
        <f>VLOOKUP(3479,PSR!A:J,9,0)</f>
        <v>1.0730154761745057</v>
      </c>
      <c r="R11" s="19">
        <f>VLOOKUP(3479,葛林公式!A:N,12,0)</f>
        <v>97</v>
      </c>
      <c r="S11" s="196">
        <v>9</v>
      </c>
      <c r="T11" s="32"/>
    </row>
    <row r="12" spans="1:79">
      <c r="A12" s="449" t="str">
        <f>HYPERLINK("http://www.wantgoo.com/stock/chart.aspx?stockno=2441","2441")</f>
        <v>2441</v>
      </c>
      <c r="C12" s="18">
        <f>VLOOKUP(2441,季財報!A:H,3)</f>
        <v>0</v>
      </c>
      <c r="D12" s="18">
        <f>VLOOKUP(2441,季財報!A:H,4)</f>
        <v>1</v>
      </c>
      <c r="E12" s="18">
        <f>VLOOKUP(2441,季財報!A:H,5)</f>
        <v>2</v>
      </c>
      <c r="F12" s="18">
        <f>VLOOKUP(2441,季財報!A:H,6)</f>
        <v>1</v>
      </c>
      <c r="G12" s="18">
        <f>VLOOKUP(2441,季財報!A:H,7)</f>
        <v>0</v>
      </c>
      <c r="H12" s="20">
        <v>1</v>
      </c>
      <c r="I12" s="20">
        <v>1</v>
      </c>
      <c r="J12" s="20">
        <v>0</v>
      </c>
      <c r="K12" s="20">
        <v>0</v>
      </c>
      <c r="L12" s="20">
        <v>0</v>
      </c>
      <c r="M12" s="58">
        <v>1</v>
      </c>
      <c r="N12" s="20">
        <f>SUM(C12:M12)</f>
        <v>7</v>
      </c>
      <c r="O12" s="19">
        <f>VLOOKUP(2441,收盤價!A:C,3,0)</f>
        <v>35.450000000000003</v>
      </c>
      <c r="P12" s="19">
        <f>VLOOKUP(2441,PSR!A:J,10,0)</f>
        <v>10.788833782742682</v>
      </c>
      <c r="Q12" s="19">
        <f>VLOOKUP(2441,PSR!A:J,9,0)</f>
        <v>2.1652739859945602</v>
      </c>
      <c r="R12" s="19">
        <f>VLOOKUP(2441,葛林公式!A:N,12,0)</f>
        <v>290</v>
      </c>
      <c r="S12" s="196">
        <v>9</v>
      </c>
      <c r="T12" s="32"/>
    </row>
    <row r="13" spans="1:79">
      <c r="A13" s="448" t="str">
        <f>HYPERLINK("http://www.wantgoo.com/stock/chart.aspx?stockno=1258","1258")</f>
        <v>1258</v>
      </c>
      <c r="C13" s="18">
        <f>VLOOKUP(1258,季財報!A:H,3)</f>
        <v>1</v>
      </c>
      <c r="D13" s="18">
        <f>VLOOKUP(1258,季財報!A:H,4)</f>
        <v>1</v>
      </c>
      <c r="E13" s="18">
        <f>VLOOKUP(1258,季財報!A:H,5)</f>
        <v>2</v>
      </c>
      <c r="F13" s="18">
        <f>VLOOKUP(1258,季財報!A:H,6)</f>
        <v>1</v>
      </c>
      <c r="G13" s="18">
        <f>VLOOKUP(1258,季財報!A:H,7)</f>
        <v>1</v>
      </c>
      <c r="H13" s="20">
        <v>0</v>
      </c>
      <c r="I13" s="20">
        <v>0</v>
      </c>
      <c r="J13" s="20">
        <v>0</v>
      </c>
      <c r="K13" s="20">
        <v>0</v>
      </c>
      <c r="L13" s="20">
        <v>1</v>
      </c>
      <c r="M13" s="58">
        <v>0</v>
      </c>
      <c r="N13" s="20">
        <f>SUM(C13:M13)</f>
        <v>7</v>
      </c>
      <c r="O13" s="19">
        <f>VLOOKUP(1258,收盤價!A:C,3,0)</f>
        <v>39</v>
      </c>
      <c r="P13" s="19">
        <f>VLOOKUP(1258,PSR!A:J,10,0)</f>
        <v>7.5852272727272716</v>
      </c>
      <c r="Q13" s="19">
        <f>VLOOKUP(1258,PSR!A:J,9,0)</f>
        <v>0.81049480616849734</v>
      </c>
      <c r="R13" s="19">
        <f>VLOOKUP(1258,葛林公式!A:N,12,0)</f>
        <v>68</v>
      </c>
      <c r="S13" s="196">
        <v>9</v>
      </c>
      <c r="T13" s="32"/>
    </row>
    <row r="14" spans="1:79">
      <c r="A14" s="449" t="str">
        <f>HYPERLINK("http://www.wantgoo.com/stock/chart.aspx?stockno=1808","1808")</f>
        <v>1808</v>
      </c>
      <c r="C14" s="18">
        <f>VLOOKUP(1808,季財報!A:H,3)</f>
        <v>1</v>
      </c>
      <c r="D14" s="18">
        <f>VLOOKUP(1808,季財報!A:H,4)</f>
        <v>1</v>
      </c>
      <c r="E14" s="18">
        <f>VLOOKUP(1808,季財報!A:H,5)</f>
        <v>1</v>
      </c>
      <c r="F14" s="18">
        <f>VLOOKUP(1808,季財報!A:H,6)</f>
        <v>1</v>
      </c>
      <c r="G14" s="18">
        <f>VLOOKUP(1808,季財報!A:H,7)</f>
        <v>1</v>
      </c>
      <c r="H14" s="20">
        <v>0</v>
      </c>
      <c r="I14" s="20">
        <v>1</v>
      </c>
      <c r="J14" s="20">
        <v>0</v>
      </c>
      <c r="K14" s="20">
        <v>1</v>
      </c>
      <c r="L14" s="20">
        <v>0</v>
      </c>
      <c r="M14" s="58">
        <v>0</v>
      </c>
      <c r="N14" s="20">
        <f>SUM(C14:M14)</f>
        <v>7</v>
      </c>
      <c r="O14" s="19">
        <f>VLOOKUP(1808,收盤價!A:C,3,0)</f>
        <v>25.3</v>
      </c>
      <c r="P14" s="19">
        <f>VLOOKUP(1808,PSR!A:J,10,0)</f>
        <v>2.3421052631578947</v>
      </c>
      <c r="Q14" s="19">
        <f>VLOOKUP(1808,PSR!A:J,9,0)</f>
        <v>0.89660308616945283</v>
      </c>
      <c r="R14" s="19">
        <f>VLOOKUP(1808,葛林公式!A:N,12,0)</f>
        <v>36</v>
      </c>
      <c r="S14" s="196">
        <v>9</v>
      </c>
      <c r="T14" s="32"/>
    </row>
    <row r="15" spans="1:79">
      <c r="A15" s="449" t="str">
        <f>HYPERLINK("http://www.wantgoo.com/stock/chart.aspx?stockno=1537","1537")</f>
        <v>1537</v>
      </c>
      <c r="C15" s="18">
        <f>VLOOKUP(1537,季財報!A:H,3)</f>
        <v>1</v>
      </c>
      <c r="D15" s="18">
        <f>VLOOKUP(1537,季財報!A:H,4)</f>
        <v>1</v>
      </c>
      <c r="E15" s="18">
        <f>VLOOKUP(1537,季財報!A:H,5)</f>
        <v>2</v>
      </c>
      <c r="F15" s="18">
        <f>VLOOKUP(1537,季財報!A:H,6)</f>
        <v>1</v>
      </c>
      <c r="G15" s="18">
        <f>VLOOKUP(1537,季財報!A:H,7)</f>
        <v>1</v>
      </c>
      <c r="H15" s="20">
        <v>0</v>
      </c>
      <c r="I15" s="20">
        <v>0</v>
      </c>
      <c r="J15" s="20">
        <v>0</v>
      </c>
      <c r="K15" s="20">
        <v>1</v>
      </c>
      <c r="L15" s="20">
        <v>0</v>
      </c>
      <c r="M15" s="58">
        <v>0</v>
      </c>
      <c r="N15" s="20">
        <f>SUM(C15:M15)</f>
        <v>7</v>
      </c>
      <c r="O15" s="19">
        <f>VLOOKUP(1537,收盤價!A:C,3,0)</f>
        <v>128.5</v>
      </c>
      <c r="P15" s="19">
        <f>VLOOKUP(1537,PSR!A:J,10,0)</f>
        <v>12.235007639419404</v>
      </c>
      <c r="Q15" s="19">
        <f>VLOOKUP(1537,PSR!A:J,9,0)</f>
        <v>1.4589579870673832</v>
      </c>
      <c r="R15" s="19">
        <f>VLOOKUP(1537,葛林公式!A:N,12,0)</f>
        <v>56</v>
      </c>
      <c r="S15" s="196">
        <v>8</v>
      </c>
      <c r="T15" s="32"/>
    </row>
    <row r="16" spans="1:79">
      <c r="A16" s="448" t="str">
        <f>HYPERLINK("http://www.wantgoo.com/stock/chart.aspx?stockno=1582","1582")</f>
        <v>1582</v>
      </c>
      <c r="C16" s="18">
        <f>VLOOKUP(1582,季財報!A:H,3)</f>
        <v>1</v>
      </c>
      <c r="D16" s="18">
        <f>VLOOKUP(1582,季財報!A:H,4)</f>
        <v>1</v>
      </c>
      <c r="E16" s="18">
        <f>VLOOKUP(1582,季財報!A:H,5)</f>
        <v>2</v>
      </c>
      <c r="F16" s="18">
        <f>VLOOKUP(1582,季財報!A:H,6)</f>
        <v>1</v>
      </c>
      <c r="G16" s="18">
        <f>VLOOKUP(1582,季財報!A:H,7)</f>
        <v>1</v>
      </c>
      <c r="H16" s="20">
        <v>0</v>
      </c>
      <c r="I16" s="20">
        <v>0</v>
      </c>
      <c r="J16" s="20">
        <v>0</v>
      </c>
      <c r="K16" s="20">
        <v>1</v>
      </c>
      <c r="L16" s="20">
        <v>0</v>
      </c>
      <c r="M16" s="58">
        <v>0</v>
      </c>
      <c r="N16" s="20">
        <f>SUM(C16:M16)</f>
        <v>7</v>
      </c>
      <c r="O16" s="19">
        <f>VLOOKUP(1582,收盤價!A:C,3,0)</f>
        <v>48.6</v>
      </c>
      <c r="P16" s="19">
        <f>VLOOKUP(1582,PSR!A:J,10,0)</f>
        <v>8.2305602006688954</v>
      </c>
      <c r="Q16" s="19">
        <f>VLOOKUP(1582,PSR!A:J,9,0)</f>
        <v>0.75711939453522548</v>
      </c>
      <c r="R16" s="19">
        <f>VLOOKUP(1582,葛林公式!A:N,12,0)</f>
        <v>121</v>
      </c>
      <c r="S16" s="196">
        <v>10</v>
      </c>
      <c r="T16" s="32"/>
    </row>
    <row r="17" spans="1:20">
      <c r="A17" s="448" t="str">
        <f>HYPERLINK("http://www.wantgoo.com/stock/chart.aspx?stockno=6185","6185")</f>
        <v>6185</v>
      </c>
      <c r="C17" s="18">
        <f>VLOOKUP(6185,季財報!A:H,3)</f>
        <v>0</v>
      </c>
      <c r="D17" s="18">
        <f>VLOOKUP(6185,季財報!A:H,4)</f>
        <v>0</v>
      </c>
      <c r="E17" s="18">
        <f>VLOOKUP(6185,季財報!A:H,5)</f>
        <v>2</v>
      </c>
      <c r="F17" s="18">
        <f>VLOOKUP(6185,季財報!A:H,6)</f>
        <v>0</v>
      </c>
      <c r="G17" s="18">
        <f>VLOOKUP(6185,季財報!A:H,7)</f>
        <v>0</v>
      </c>
      <c r="H17" s="20">
        <v>1</v>
      </c>
      <c r="I17" s="20">
        <v>1</v>
      </c>
      <c r="J17" s="20">
        <v>0</v>
      </c>
      <c r="K17" s="20">
        <v>1</v>
      </c>
      <c r="L17" s="20">
        <v>0</v>
      </c>
      <c r="M17" s="58">
        <v>1</v>
      </c>
      <c r="N17" s="20">
        <f>SUM(C17:M17)</f>
        <v>6</v>
      </c>
      <c r="O17" s="19">
        <f>VLOOKUP(6185,收盤價!A:C,3,0)</f>
        <v>24.3</v>
      </c>
      <c r="P17" s="19">
        <f>VLOOKUP(6185,PSR!A:J,10,0)</f>
        <v>10.741791405118299</v>
      </c>
      <c r="Q17" s="19">
        <f>VLOOKUP(6185,PSR!A:J,9,0)</f>
        <v>1.864380887967634</v>
      </c>
      <c r="R17" s="19">
        <f>VLOOKUP(6185,葛林公式!A:N,12,0)</f>
        <v>244</v>
      </c>
      <c r="S17" s="196">
        <v>8</v>
      </c>
      <c r="T17" s="32"/>
    </row>
    <row r="18" spans="1:20">
      <c r="A18" s="448" t="str">
        <f>HYPERLINK("http://www.wantgoo.com/stock/chart.aspx?stockno=2428","2428")</f>
        <v>2428</v>
      </c>
      <c r="C18" s="18">
        <f>VLOOKUP(2428,季財報!A:H,3)</f>
        <v>1</v>
      </c>
      <c r="D18" s="18">
        <f>VLOOKUP(2428,季財報!A:H,4)</f>
        <v>1</v>
      </c>
      <c r="E18" s="18">
        <f>VLOOKUP(2428,季財報!A:H,5)</f>
        <v>1</v>
      </c>
      <c r="F18" s="18">
        <f>VLOOKUP(2428,季財報!A:H,6)</f>
        <v>1</v>
      </c>
      <c r="G18" s="18">
        <f>VLOOKUP(2428,季財報!A:H,7)</f>
        <v>0</v>
      </c>
      <c r="H18" s="20">
        <v>1</v>
      </c>
      <c r="I18" s="20">
        <v>0</v>
      </c>
      <c r="J18" s="20">
        <v>0</v>
      </c>
      <c r="K18" s="20">
        <v>0</v>
      </c>
      <c r="L18" s="20">
        <v>0</v>
      </c>
      <c r="M18" s="58">
        <v>1</v>
      </c>
      <c r="N18" s="20">
        <f>SUM(C18:M18)</f>
        <v>6</v>
      </c>
      <c r="O18" s="19">
        <f>VLOOKUP(2428,收盤價!A:C,3,0)</f>
        <v>53.6</v>
      </c>
      <c r="P18" s="19">
        <f>VLOOKUP(2428,PSR!A:J,10,0)</f>
        <v>8.5820960148635681</v>
      </c>
      <c r="Q18" s="19">
        <f>VLOOKUP(2428,PSR!A:J,9,0)</f>
        <v>1.3684835122345764</v>
      </c>
      <c r="R18" s="19">
        <f>VLOOKUP(2428,葛林公式!A:N,12,0)</f>
        <v>190</v>
      </c>
      <c r="S18" s="196">
        <v>8</v>
      </c>
      <c r="T18" s="32"/>
    </row>
    <row r="19" spans="1:20">
      <c r="A19" s="448" t="str">
        <f>HYPERLINK("http://www.wantgoo.com/stock/chart.aspx?stockno=2458","2458")</f>
        <v>2458</v>
      </c>
      <c r="C19" s="18">
        <f>VLOOKUP(2458,季財報!A:H,3)</f>
        <v>1</v>
      </c>
      <c r="D19" s="18">
        <f>VLOOKUP(2458,季財報!A:H,4)</f>
        <v>1</v>
      </c>
      <c r="E19" s="18">
        <f>VLOOKUP(2458,季財報!A:H,5)</f>
        <v>0</v>
      </c>
      <c r="F19" s="18">
        <f>VLOOKUP(2458,季財報!A:H,6)</f>
        <v>1</v>
      </c>
      <c r="G19" s="18">
        <f>VLOOKUP(2458,季財報!A:H,7)</f>
        <v>1</v>
      </c>
      <c r="H19" s="20">
        <v>1</v>
      </c>
      <c r="I19" s="20">
        <v>0</v>
      </c>
      <c r="J19" s="20">
        <v>0</v>
      </c>
      <c r="K19" s="20">
        <v>0</v>
      </c>
      <c r="L19" s="20">
        <v>0</v>
      </c>
      <c r="M19" s="58">
        <v>1</v>
      </c>
      <c r="N19" s="20">
        <f>SUM(C19:M19)</f>
        <v>6</v>
      </c>
      <c r="O19" s="19">
        <f>VLOOKUP(2458,收盤價!A:C,3,0)</f>
        <v>45.05</v>
      </c>
      <c r="P19" s="19">
        <f>VLOOKUP(2458,PSR!A:J,10,0)</f>
        <v>24.442489201727724</v>
      </c>
      <c r="Q19" s="19">
        <f>VLOOKUP(2458,PSR!A:J,9,0)</f>
        <v>2.8477870711368731</v>
      </c>
      <c r="R19" s="19">
        <f>VLOOKUP(2458,葛林公式!A:N,12,0)</f>
        <v>436</v>
      </c>
      <c r="S19" s="196">
        <v>7</v>
      </c>
      <c r="T19" s="32"/>
    </row>
    <row r="20" spans="1:20">
      <c r="A20" s="448" t="str">
        <f>HYPERLINK("http://www.wantgoo.com/stock/chart.aspx?stockno=2404","2404")</f>
        <v>2404</v>
      </c>
      <c r="C20" s="18">
        <f>VLOOKUP(2404,季財報!A:H,3)</f>
        <v>1</v>
      </c>
      <c r="D20" s="18">
        <f>VLOOKUP(2404,季財報!A:H,4)</f>
        <v>1</v>
      </c>
      <c r="E20" s="18">
        <f>VLOOKUP(2404,季財報!A:H,5)</f>
        <v>2</v>
      </c>
      <c r="F20" s="18">
        <f>VLOOKUP(2404,季財報!A:H,6)</f>
        <v>0</v>
      </c>
      <c r="G20" s="18">
        <f>VLOOKUP(2404,季財報!A:H,7)</f>
        <v>0</v>
      </c>
      <c r="H20" s="20">
        <v>1</v>
      </c>
      <c r="I20" s="20">
        <v>0</v>
      </c>
      <c r="J20" s="20">
        <v>0</v>
      </c>
      <c r="K20" s="20">
        <v>0</v>
      </c>
      <c r="L20" s="20">
        <v>0</v>
      </c>
      <c r="M20" s="58">
        <v>1</v>
      </c>
      <c r="N20" s="20">
        <f>SUM(C20:M20)</f>
        <v>6</v>
      </c>
      <c r="O20" s="19">
        <f>VLOOKUP(2404,收盤價!A:C,3,0)</f>
        <v>41.95</v>
      </c>
      <c r="P20" s="19">
        <f>VLOOKUP(2404,PSR!A:J,10,0)</f>
        <v>13.573876948887795</v>
      </c>
      <c r="Q20" s="19">
        <f>VLOOKUP(2404,PSR!A:J,9,0)</f>
        <v>0.85430005437329037</v>
      </c>
      <c r="R20" s="19">
        <f>VLOOKUP(2404,葛林公式!A:N,12,0)</f>
        <v>78</v>
      </c>
      <c r="S20" s="196">
        <v>8</v>
      </c>
      <c r="T20" s="32"/>
    </row>
    <row r="21" spans="1:20">
      <c r="A21" s="449" t="str">
        <f>HYPERLINK("http://www.wantgoo.com/stock/chart.aspx?stockno=2330","2330")</f>
        <v>2330</v>
      </c>
      <c r="C21" s="18">
        <f>VLOOKUP(2330,季財報!A:H,3)</f>
        <v>1</v>
      </c>
      <c r="D21" s="18">
        <f>VLOOKUP(2330,季財報!A:H,4)</f>
        <v>1</v>
      </c>
      <c r="E21" s="18">
        <f>VLOOKUP(2330,季財報!A:H,5)</f>
        <v>2</v>
      </c>
      <c r="F21" s="18">
        <f>VLOOKUP(2330,季財報!A:H,6)</f>
        <v>0</v>
      </c>
      <c r="G21" s="18">
        <f>VLOOKUP(2330,季財報!A:H,7)</f>
        <v>0</v>
      </c>
      <c r="H21" s="20">
        <v>1</v>
      </c>
      <c r="I21" s="20">
        <v>0</v>
      </c>
      <c r="J21" s="20">
        <v>0</v>
      </c>
      <c r="K21" s="20">
        <v>1</v>
      </c>
      <c r="L21" s="20">
        <v>0</v>
      </c>
      <c r="M21" s="58">
        <v>0</v>
      </c>
      <c r="N21" s="20">
        <f>SUM(C21:M21)</f>
        <v>6</v>
      </c>
      <c r="O21" s="19">
        <f>VLOOKUP(2330,收盤價!A:C,3,0)</f>
        <v>143.5</v>
      </c>
      <c r="P21" s="19">
        <f>VLOOKUP(2330,PSR!A:J,10,0)</f>
        <v>14.980612936813465</v>
      </c>
      <c r="Q21" s="19">
        <f>VLOOKUP(2330,PSR!A:J,9,0)</f>
        <v>4.3468173528459957</v>
      </c>
      <c r="R21" s="19">
        <f>VLOOKUP(2330,葛林公式!A:N,12,0)</f>
        <v>114</v>
      </c>
      <c r="S21" s="196">
        <v>8</v>
      </c>
      <c r="T21" s="32"/>
    </row>
    <row r="22" spans="1:20">
      <c r="A22" s="449" t="str">
        <f>HYPERLINK("http://www.wantgoo.com/stock/chart.aspx?stockno=2355","2355")</f>
        <v>2355</v>
      </c>
      <c r="C22" s="18">
        <f>VLOOKUP(2355,季財報!A:H,3)</f>
        <v>1</v>
      </c>
      <c r="D22" s="18">
        <f>VLOOKUP(2355,季財報!A:H,4)</f>
        <v>1</v>
      </c>
      <c r="E22" s="18">
        <f>VLOOKUP(2355,季財報!A:H,5)</f>
        <v>1</v>
      </c>
      <c r="F22" s="18">
        <f>VLOOKUP(2355,季財報!A:H,6)</f>
        <v>1</v>
      </c>
      <c r="G22" s="18">
        <f>VLOOKUP(2355,季財報!A:H,7)</f>
        <v>0</v>
      </c>
      <c r="H22" s="20">
        <v>1</v>
      </c>
      <c r="I22" s="20">
        <v>0</v>
      </c>
      <c r="J22" s="20">
        <v>0</v>
      </c>
      <c r="K22" s="20">
        <v>1</v>
      </c>
      <c r="L22" s="20">
        <v>0</v>
      </c>
      <c r="M22" s="58">
        <v>0</v>
      </c>
      <c r="N22" s="20">
        <f>SUM(C22:M22)</f>
        <v>6</v>
      </c>
      <c r="O22" s="19">
        <f>VLOOKUP(2355,收盤價!A:C,3,0)</f>
        <v>52.2</v>
      </c>
      <c r="P22" s="19">
        <f>VLOOKUP(2355,PSR!A:J,10,0)</f>
        <v>11.805230918030144</v>
      </c>
      <c r="Q22" s="19">
        <f>VLOOKUP(2355,PSR!A:J,9,0)</f>
        <v>0.94144264578579884</v>
      </c>
      <c r="R22" s="19">
        <f>VLOOKUP(2355,葛林公式!A:N,12,0)</f>
        <v>244</v>
      </c>
      <c r="S22" s="196">
        <v>9</v>
      </c>
      <c r="T22" s="32"/>
    </row>
    <row r="23" spans="1:20">
      <c r="A23" s="448" t="str">
        <f>HYPERLINK("http://www.wantgoo.com/stock/chart.aspx?stockno=3213","3213")</f>
        <v>3213</v>
      </c>
      <c r="C23" s="18">
        <f>VLOOKUP(3213,季財報!A:H,3)</f>
        <v>1</v>
      </c>
      <c r="D23" s="18">
        <f>VLOOKUP(3213,季財報!A:H,4)</f>
        <v>1</v>
      </c>
      <c r="E23" s="18">
        <f>VLOOKUP(3213,季財報!A:H,5)</f>
        <v>0</v>
      </c>
      <c r="F23" s="18">
        <f>VLOOKUP(3213,季財報!A:H,6)</f>
        <v>1</v>
      </c>
      <c r="G23" s="18">
        <f>VLOOKUP(3213,季財報!A:H,7)</f>
        <v>1</v>
      </c>
      <c r="H23" s="20">
        <v>1</v>
      </c>
      <c r="I23" s="20">
        <v>0</v>
      </c>
      <c r="J23" s="20">
        <v>0</v>
      </c>
      <c r="K23" s="20">
        <v>1</v>
      </c>
      <c r="L23" s="20">
        <v>0</v>
      </c>
      <c r="M23" s="58">
        <v>0</v>
      </c>
      <c r="N23" s="20">
        <f>SUM(C23:M23)</f>
        <v>6</v>
      </c>
      <c r="O23" s="19">
        <f>VLOOKUP(3213,收盤價!A:C,3,0)</f>
        <v>42.85</v>
      </c>
      <c r="P23" s="19">
        <f>VLOOKUP(3213,PSR!A:J,10,0)</f>
        <v>11.967741935483872</v>
      </c>
      <c r="Q23" s="19">
        <f>VLOOKUP(3213,PSR!A:J,9,0)</f>
        <v>1.1790627417912862</v>
      </c>
      <c r="R23" s="19">
        <f>VLOOKUP(3213,葛林公式!A:N,12,0)</f>
        <v>190</v>
      </c>
      <c r="S23" s="196">
        <v>8</v>
      </c>
      <c r="T23" s="32"/>
    </row>
    <row r="24" spans="1:20">
      <c r="A24" s="448" t="str">
        <f>HYPERLINK("http://www.wantgoo.com/stock/chart.aspx?stockno=1340","1340")</f>
        <v>1340</v>
      </c>
      <c r="C24" s="18">
        <f>VLOOKUP(1340,季財報!A:H,3)</f>
        <v>1</v>
      </c>
      <c r="D24" s="18">
        <f>VLOOKUP(1340,季財報!A:H,4)</f>
        <v>1</v>
      </c>
      <c r="E24" s="18">
        <f>VLOOKUP(1340,季財報!A:H,5)</f>
        <v>2</v>
      </c>
      <c r="F24" s="18">
        <f>VLOOKUP(1340,季財報!A:H,6)</f>
        <v>1</v>
      </c>
      <c r="G24" s="18">
        <f>VLOOKUP(1340,季財報!A:H,7)</f>
        <v>1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58">
        <v>0</v>
      </c>
      <c r="N24" s="20">
        <f>SUM(C24:M24)</f>
        <v>6</v>
      </c>
      <c r="O24" s="19">
        <f>VLOOKUP(1340,收盤價!A:C,3,0)</f>
        <v>65.5</v>
      </c>
      <c r="P24" s="19">
        <f>VLOOKUP(1340,PSR!A:J,10,0)</f>
        <v>8.4903614457831331</v>
      </c>
      <c r="Q24" s="19">
        <f>VLOOKUP(1340,PSR!A:J,9,0)</f>
        <v>2.3847844769718471</v>
      </c>
      <c r="R24" s="19">
        <f>VLOOKUP(1340,葛林公式!A:N,12,0)</f>
        <v>244</v>
      </c>
      <c r="S24" s="196">
        <v>8</v>
      </c>
      <c r="T24" s="32"/>
    </row>
    <row r="25" spans="1:20">
      <c r="A25" s="449" t="str">
        <f>HYPERLINK("http://www.wantgoo.com/stock/chart.aspx?stockno=5315","5315")</f>
        <v>5315</v>
      </c>
      <c r="C25" s="18">
        <f>VLOOKUP(5315,季財報!A:H,3)</f>
        <v>0</v>
      </c>
      <c r="D25" s="18">
        <f>VLOOKUP(5315,季財報!A:H,4)</f>
        <v>1</v>
      </c>
      <c r="E25" s="18">
        <f>VLOOKUP(5315,季財報!A:H,5)</f>
        <v>1</v>
      </c>
      <c r="F25" s="18">
        <f>VLOOKUP(5315,季財報!A:H,6)</f>
        <v>0</v>
      </c>
      <c r="G25" s="18">
        <f>VLOOKUP(5315,季財報!A:H,7)</f>
        <v>0</v>
      </c>
      <c r="H25" s="20">
        <v>1</v>
      </c>
      <c r="I25" s="20">
        <v>1</v>
      </c>
      <c r="J25" s="20">
        <v>0</v>
      </c>
      <c r="K25" s="20">
        <v>0</v>
      </c>
      <c r="L25" s="20">
        <v>0</v>
      </c>
      <c r="M25" s="58">
        <v>1</v>
      </c>
      <c r="N25" s="20">
        <f>SUM(C25:M25)</f>
        <v>5</v>
      </c>
      <c r="O25" s="19">
        <f>VLOOKUP(5315,收盤價!A:C,3,0)</f>
        <v>21.95</v>
      </c>
      <c r="P25" s="19">
        <f>VLOOKUP(5315,PSR!A:J,10,0)</f>
        <v>5.4782608695652186</v>
      </c>
      <c r="Q25" s="19">
        <f>VLOOKUP(5315,PSR!A:J,9,0)</f>
        <v>0.88157513979516233</v>
      </c>
      <c r="R25" s="19">
        <f>VLOOKUP(5315,葛林公式!A:N,12,0)</f>
        <v>27</v>
      </c>
      <c r="S25" s="196">
        <v>7</v>
      </c>
      <c r="T25" s="32"/>
    </row>
    <row r="26" spans="1:20">
      <c r="A26" s="448" t="str">
        <f>HYPERLINK("http://www.wantgoo.com/stock/chart.aspx?stockno=2451","2451")</f>
        <v>2451</v>
      </c>
      <c r="C26" s="18">
        <f>VLOOKUP(2451,季財報!A:H,3)</f>
        <v>1</v>
      </c>
      <c r="D26" s="18">
        <f>VLOOKUP(2451,季財報!A:H,4)</f>
        <v>1</v>
      </c>
      <c r="E26" s="18">
        <f>VLOOKUP(2451,季財報!A:H,5)</f>
        <v>1</v>
      </c>
      <c r="F26" s="18">
        <f>VLOOKUP(2451,季財報!A:H,6)</f>
        <v>1</v>
      </c>
      <c r="G26" s="18">
        <f>VLOOKUP(2451,季財報!A:H,7)</f>
        <v>0</v>
      </c>
      <c r="H26" s="20">
        <v>0</v>
      </c>
      <c r="I26" s="20">
        <v>0</v>
      </c>
      <c r="J26" s="20">
        <v>0</v>
      </c>
      <c r="K26" s="20">
        <v>1</v>
      </c>
      <c r="L26" s="20">
        <v>0</v>
      </c>
      <c r="M26" s="58">
        <v>0</v>
      </c>
      <c r="N26" s="20">
        <f>SUM(C26:M26)</f>
        <v>5</v>
      </c>
      <c r="O26" s="19">
        <f>VLOOKUP(2451,收盤價!A:C,3,0)</f>
        <v>86.4</v>
      </c>
      <c r="P26" s="19">
        <f>VLOOKUP(2451,PSR!A:J,10,0)</f>
        <v>12.586784477719322</v>
      </c>
      <c r="Q26" s="19">
        <f>VLOOKUP(2451,PSR!A:J,9,0)</f>
        <v>1.4733399362106063</v>
      </c>
      <c r="R26" s="19">
        <f>VLOOKUP(2451,葛林公式!A:N,12,0)</f>
        <v>436</v>
      </c>
      <c r="S26" s="196">
        <v>7</v>
      </c>
      <c r="T26" s="32"/>
    </row>
    <row r="27" spans="1:20">
      <c r="A27" s="448" t="str">
        <f>HYPERLINK("http://www.wantgoo.com/stock/chart.aspx?stockno=1232","1232")</f>
        <v>1232</v>
      </c>
      <c r="C27" s="18">
        <v>0</v>
      </c>
      <c r="D27" s="18">
        <v>1</v>
      </c>
      <c r="E27" s="18">
        <v>1</v>
      </c>
      <c r="F27" s="18">
        <v>1</v>
      </c>
      <c r="G27" s="18">
        <v>0</v>
      </c>
      <c r="H27" s="20">
        <v>1</v>
      </c>
      <c r="I27" s="20">
        <v>0</v>
      </c>
      <c r="J27" s="20">
        <v>0</v>
      </c>
      <c r="K27" s="20">
        <v>1</v>
      </c>
      <c r="L27" s="20">
        <v>0</v>
      </c>
      <c r="M27" s="58">
        <v>0</v>
      </c>
      <c r="N27" s="20">
        <f>SUM(C27:M27)</f>
        <v>5</v>
      </c>
      <c r="O27" s="19">
        <f>VLOOKUP(1232,收盤價!A:C,3,0)</f>
        <v>74.8</v>
      </c>
      <c r="P27" s="19">
        <f>VLOOKUP(1232,PSR!A:J,10,0)</f>
        <v>12.752906976744187</v>
      </c>
      <c r="Q27" s="19">
        <f>VLOOKUP(1232,PSR!A:J,9,0)</f>
        <v>0.64699374818023758</v>
      </c>
      <c r="R27" s="19">
        <f>VLOOKUP(1232,葛林公式!A:N,12,0)</f>
        <v>70</v>
      </c>
      <c r="S27" s="196">
        <v>7</v>
      </c>
      <c r="T27" s="32"/>
    </row>
    <row r="28" spans="1:20">
      <c r="A28" s="448" t="str">
        <f>HYPERLINK("http://www.wantgoo.com/stock/chart.aspx?stockno=3299","3299")</f>
        <v>3299</v>
      </c>
      <c r="C28" s="18">
        <f>VLOOKUP(3299,季財報!A:H,3)</f>
        <v>0</v>
      </c>
      <c r="D28" s="18">
        <f>VLOOKUP(3299,季財報!A:H,4)</f>
        <v>1</v>
      </c>
      <c r="E28" s="18">
        <f>VLOOKUP(3299,季財報!A:H,5)</f>
        <v>1</v>
      </c>
      <c r="F28" s="18">
        <f>VLOOKUP(3299,季財報!A:H,6)</f>
        <v>1</v>
      </c>
      <c r="G28" s="18">
        <f>VLOOKUP(3299,季財報!A:H,7)</f>
        <v>1</v>
      </c>
      <c r="H28" s="20">
        <v>0</v>
      </c>
      <c r="I28" s="20">
        <v>0</v>
      </c>
      <c r="J28" s="20">
        <v>0</v>
      </c>
      <c r="K28" s="20">
        <v>1</v>
      </c>
      <c r="L28" s="20">
        <v>0</v>
      </c>
      <c r="M28" s="58">
        <v>0</v>
      </c>
      <c r="N28" s="20">
        <f>SUM(C28:M28)</f>
        <v>5</v>
      </c>
      <c r="O28" s="19">
        <f>VLOOKUP(3299,收盤價!A:C,3,0)</f>
        <v>49.25</v>
      </c>
      <c r="P28" s="19">
        <f>VLOOKUP(3299,PSR!A:J,10,0)</f>
        <v>12.009515977443609</v>
      </c>
      <c r="Q28" s="19">
        <f>VLOOKUP(3299,PSR!A:J,9,0)</f>
        <v>0.93705533057054224</v>
      </c>
      <c r="R28" s="19">
        <f>VLOOKUP(3299,葛林公式!A:N,12,0)</f>
        <v>244</v>
      </c>
      <c r="S28" s="196">
        <v>8</v>
      </c>
      <c r="T28" s="32"/>
    </row>
    <row r="29" spans="1:20">
      <c r="A29" s="449" t="str">
        <f>HYPERLINK("http://www.wantgoo.com/stock/chart.aspx?stockno=3030","3030")</f>
        <v>3030</v>
      </c>
      <c r="C29" s="18">
        <f>VLOOKUP(3030,季財報!A:H,3)</f>
        <v>1</v>
      </c>
      <c r="D29" s="18">
        <f>VLOOKUP(3030,季財報!A:H,4)</f>
        <v>1</v>
      </c>
      <c r="E29" s="18">
        <f>VLOOKUP(3030,季財報!A:H,5)</f>
        <v>1</v>
      </c>
      <c r="F29" s="18">
        <f>VLOOKUP(3030,季財報!A:H,6)</f>
        <v>1</v>
      </c>
      <c r="G29" s="18">
        <f>VLOOKUP(3030,季財報!A:H,7)</f>
        <v>0</v>
      </c>
      <c r="H29" s="20">
        <v>0</v>
      </c>
      <c r="I29" s="20">
        <v>0</v>
      </c>
      <c r="J29" s="20">
        <v>0</v>
      </c>
      <c r="K29" s="20">
        <v>1</v>
      </c>
      <c r="L29" s="20">
        <v>0</v>
      </c>
      <c r="M29" s="58">
        <v>0</v>
      </c>
      <c r="N29" s="20">
        <f>SUM(C29:M29)</f>
        <v>5</v>
      </c>
      <c r="O29" s="19">
        <f>VLOOKUP(3030,收盤價!A:C,3,0)</f>
        <v>49.1</v>
      </c>
      <c r="P29" s="19">
        <f>VLOOKUP(3030,PSR!A:J,10,0)</f>
        <v>8.1606415721959902</v>
      </c>
      <c r="Q29" s="19">
        <f>VLOOKUP(3030,PSR!A:J,9,0)</f>
        <v>2.4507875363532383</v>
      </c>
      <c r="R29" s="19">
        <f>VLOOKUP(3030,葛林公式!A:N,12,0)</f>
        <v>76</v>
      </c>
      <c r="S29" s="196">
        <v>6</v>
      </c>
      <c r="T29" s="32"/>
    </row>
    <row r="30" spans="1:20">
      <c r="A30" s="448" t="str">
        <f>HYPERLINK("http://www.wantgoo.com/stock/chart.aspx?stockno=2488","2488")</f>
        <v>2488</v>
      </c>
      <c r="C30" s="18">
        <f>VLOOKUP(2488,季財報!A:H,3)</f>
        <v>1</v>
      </c>
      <c r="D30" s="18">
        <f>VLOOKUP(2488,季財報!A:H,4)</f>
        <v>1</v>
      </c>
      <c r="E30" s="18">
        <f>VLOOKUP(2488,季財報!A:H,5)</f>
        <v>1</v>
      </c>
      <c r="F30" s="18">
        <f>VLOOKUP(2488,季財報!A:H,6)</f>
        <v>1</v>
      </c>
      <c r="G30" s="18">
        <f>VLOOKUP(2488,季財報!A:H,7)</f>
        <v>0</v>
      </c>
      <c r="H30" s="20">
        <v>0</v>
      </c>
      <c r="I30" s="20">
        <v>0</v>
      </c>
      <c r="J30" s="20">
        <v>0</v>
      </c>
      <c r="K30" s="20">
        <v>1</v>
      </c>
      <c r="L30" s="20">
        <v>0</v>
      </c>
      <c r="M30" s="58">
        <v>0</v>
      </c>
      <c r="N30" s="20">
        <f>SUM(C30:M30)</f>
        <v>5</v>
      </c>
      <c r="O30" s="19">
        <f>VLOOKUP(2488,收盤價!A:C,3,0)</f>
        <v>23.75</v>
      </c>
      <c r="P30" s="19">
        <f>VLOOKUP(2488,PSR!A:J,10,0)</f>
        <v>7.9691027926322047</v>
      </c>
      <c r="Q30" s="19">
        <f>VLOOKUP(2488,PSR!A:J,9,0)</f>
        <v>0.80881797331998251</v>
      </c>
      <c r="R30" s="19">
        <f>VLOOKUP(2488,葛林公式!A:N,12,0)</f>
        <v>190</v>
      </c>
      <c r="S30" s="196">
        <v>8</v>
      </c>
      <c r="T30" s="32"/>
    </row>
    <row r="31" spans="1:20">
      <c r="A31" s="448" t="str">
        <f>HYPERLINK("http://www.wantgoo.com/stock/chart.aspx?stockno=2474","2474")</f>
        <v>2474</v>
      </c>
      <c r="C31" s="18">
        <f>VLOOKUP(2474,季財報!A:H,3)</f>
        <v>1</v>
      </c>
      <c r="D31" s="18">
        <f>VLOOKUP(2474,季財報!A:H,4)</f>
        <v>1</v>
      </c>
      <c r="E31" s="18">
        <f>VLOOKUP(2474,季財報!A:H,5)</f>
        <v>0</v>
      </c>
      <c r="F31" s="18">
        <f>VLOOKUP(2474,季財報!A:H,6)</f>
        <v>1</v>
      </c>
      <c r="G31" s="18">
        <f>VLOOKUP(2474,季財報!A:H,7)</f>
        <v>1</v>
      </c>
      <c r="H31" s="20">
        <v>0</v>
      </c>
      <c r="I31" s="20">
        <v>1</v>
      </c>
      <c r="J31" s="20">
        <v>0</v>
      </c>
      <c r="K31" s="20">
        <v>0</v>
      </c>
      <c r="L31" s="20">
        <v>0</v>
      </c>
      <c r="M31" s="58">
        <v>0</v>
      </c>
      <c r="N31" s="20">
        <f>SUM(C31:M31)</f>
        <v>5</v>
      </c>
      <c r="O31" s="19">
        <f>VLOOKUP(2474,收盤價!A:C,3,0)</f>
        <v>282</v>
      </c>
      <c r="P31" s="19">
        <f>VLOOKUP(2474,PSR!A:J,10,0)</f>
        <v>9.810253160812147</v>
      </c>
      <c r="Q31" s="19">
        <f>VLOOKUP(2474,PSR!A:J,9,0)</f>
        <v>2.847663260024984</v>
      </c>
      <c r="R31" s="19">
        <f>VLOOKUP(2474,葛林公式!A:N,12,0)</f>
        <v>97</v>
      </c>
      <c r="S31" s="196">
        <v>7</v>
      </c>
      <c r="T31" s="32"/>
    </row>
    <row r="32" spans="1:20">
      <c r="A32" s="448" t="str">
        <f>HYPERLINK("http://www.wantgoo.com/stock/chart.aspx?stockno=2929","2929")</f>
        <v>2929</v>
      </c>
      <c r="C32" s="18">
        <f>VLOOKUP(2929,季財報!A:H,3)</f>
        <v>0</v>
      </c>
      <c r="D32" s="18">
        <f>VLOOKUP(2929,季財報!A:H,4)</f>
        <v>0</v>
      </c>
      <c r="E32" s="18">
        <f>VLOOKUP(2929,季財報!A:H,5)</f>
        <v>2</v>
      </c>
      <c r="F32" s="18">
        <f>VLOOKUP(2929,季財報!A:H,6)</f>
        <v>1</v>
      </c>
      <c r="G32" s="18">
        <f>VLOOKUP(2929,季財報!A:H,7)</f>
        <v>1</v>
      </c>
      <c r="H32" s="20">
        <v>1</v>
      </c>
      <c r="I32" s="20">
        <v>0</v>
      </c>
      <c r="J32" s="20">
        <v>0</v>
      </c>
      <c r="K32" s="20">
        <v>0</v>
      </c>
      <c r="L32" s="20">
        <v>0</v>
      </c>
      <c r="M32" s="58">
        <v>0</v>
      </c>
      <c r="N32" s="20">
        <f>SUM(C32:M32)</f>
        <v>5</v>
      </c>
      <c r="O32" s="19">
        <f>VLOOKUP(2929,收盤價!A:C,3,0)</f>
        <v>137</v>
      </c>
      <c r="P32" s="19">
        <f>VLOOKUP(2929,PSR!A:J,10,0)</f>
        <v>14.859615359693118</v>
      </c>
      <c r="Q32" s="19">
        <f>VLOOKUP(2929,PSR!A:J,9,0)</f>
        <v>1.4823610911792</v>
      </c>
      <c r="R32" s="19">
        <f>VLOOKUP(2929,葛林公式!A:N,12,0)</f>
        <v>121</v>
      </c>
      <c r="S32" s="196">
        <v>7</v>
      </c>
      <c r="T32" s="32"/>
    </row>
    <row r="33" spans="1:20">
      <c r="A33" s="448" t="str">
        <f>HYPERLINK("http://www.wantgoo.com/stock/chart.aspx?stockno=5289","5289")</f>
        <v>5289</v>
      </c>
      <c r="C33" s="18">
        <f>VLOOKUP(5289,季財報!A:H,3)</f>
        <v>0</v>
      </c>
      <c r="D33" s="18">
        <f>VLOOKUP(5289,季財報!A:H,4)</f>
        <v>0</v>
      </c>
      <c r="E33" s="18">
        <f>VLOOKUP(5289,季財報!A:H,5)</f>
        <v>0</v>
      </c>
      <c r="F33" s="18">
        <f>VLOOKUP(5289,季財報!A:H,6)</f>
        <v>1</v>
      </c>
      <c r="G33" s="18">
        <f>VLOOKUP(5289,季財報!A:H,7)</f>
        <v>1</v>
      </c>
      <c r="H33" s="20">
        <v>0</v>
      </c>
      <c r="I33" s="20">
        <v>0</v>
      </c>
      <c r="J33" s="20">
        <v>0</v>
      </c>
      <c r="K33" s="20">
        <v>1</v>
      </c>
      <c r="L33" s="20">
        <v>0</v>
      </c>
      <c r="M33" s="58">
        <v>1</v>
      </c>
      <c r="N33" s="20">
        <f>SUM(C33:M33)</f>
        <v>4</v>
      </c>
      <c r="O33" s="19">
        <f>VLOOKUP(5289,收盤價!A:C,3,0)</f>
        <v>91</v>
      </c>
      <c r="P33" s="19">
        <f>VLOOKUP(5289,PSR!A:J,10,0)</f>
        <v>9.3652151955558072</v>
      </c>
      <c r="Q33" s="19">
        <f>VLOOKUP(5289,PSR!A:J,9,0)</f>
        <v>1.3519297585234846</v>
      </c>
      <c r="R33" s="19">
        <f>VLOOKUP(5289,葛林公式!A:N,12,0)</f>
        <v>46</v>
      </c>
      <c r="S33" s="196">
        <v>5</v>
      </c>
      <c r="T33" s="32"/>
    </row>
    <row r="34" spans="1:20">
      <c r="A34" s="449" t="str">
        <f>HYPERLINK("http://www.wantgoo.com/stock/chart.aspx?stockno=5474","5474")</f>
        <v>5474</v>
      </c>
      <c r="C34" s="18">
        <f>VLOOKUP(5474,季財報!A:H,3)</f>
        <v>0</v>
      </c>
      <c r="D34" s="18">
        <f>VLOOKUP(5474,季財報!A:H,4)</f>
        <v>1</v>
      </c>
      <c r="E34" s="18">
        <f>VLOOKUP(5474,季財報!A:H,5)</f>
        <v>0</v>
      </c>
      <c r="F34" s="18">
        <f>VLOOKUP(5474,季財報!A:H,6)</f>
        <v>0</v>
      </c>
      <c r="G34" s="18">
        <f>VLOOKUP(5474,季財報!A:H,7)</f>
        <v>1</v>
      </c>
      <c r="H34" s="20">
        <v>0</v>
      </c>
      <c r="I34" s="20">
        <v>0</v>
      </c>
      <c r="J34" s="20">
        <v>0</v>
      </c>
      <c r="K34" s="20">
        <v>1</v>
      </c>
      <c r="L34" s="20">
        <v>0</v>
      </c>
      <c r="M34" s="58">
        <v>1</v>
      </c>
      <c r="N34" s="20">
        <f>SUM(C34:M34)</f>
        <v>4</v>
      </c>
      <c r="O34" s="19">
        <f>VLOOKUP(5474,收盤價!A:C,3,0)</f>
        <v>64.7</v>
      </c>
      <c r="P34" s="19">
        <f>VLOOKUP(5474,PSR!A:J,10,0)</f>
        <v>8.1278471209912535</v>
      </c>
      <c r="Q34" s="19">
        <f>VLOOKUP(5474,PSR!A:J,9,0)</f>
        <v>2.0870763908495773</v>
      </c>
      <c r="R34" s="19">
        <f>VLOOKUP(5474,葛林公式!A:N,12,0)</f>
        <v>7</v>
      </c>
      <c r="S34" s="196">
        <v>5</v>
      </c>
      <c r="T34" s="32"/>
    </row>
    <row r="35" spans="1:20">
      <c r="A35" s="449" t="str">
        <f>HYPERLINK("http://www.wantgoo.com/stock/chart.aspx?stockno=6202","6202")</f>
        <v>6202</v>
      </c>
      <c r="C35" s="18">
        <f>VLOOKUP(6202,季財報!A:H,3)</f>
        <v>0</v>
      </c>
      <c r="D35" s="18">
        <f>VLOOKUP(6202,季財報!A:H,4)</f>
        <v>0</v>
      </c>
      <c r="E35" s="18">
        <f>VLOOKUP(6202,季財報!A:H,5)</f>
        <v>1</v>
      </c>
      <c r="F35" s="18">
        <f>VLOOKUP(6202,季財報!A:H,6)</f>
        <v>1</v>
      </c>
      <c r="G35" s="18">
        <f>VLOOKUP(6202,季財報!A:H,7)</f>
        <v>0</v>
      </c>
      <c r="H35" s="20">
        <v>1</v>
      </c>
      <c r="I35" s="20">
        <v>0</v>
      </c>
      <c r="J35" s="20">
        <v>0</v>
      </c>
      <c r="K35" s="20">
        <v>0</v>
      </c>
      <c r="L35" s="20">
        <v>0</v>
      </c>
      <c r="M35" s="58">
        <v>1</v>
      </c>
      <c r="N35" s="20">
        <f>SUM(C35:M35)</f>
        <v>4</v>
      </c>
      <c r="O35" s="19">
        <f>VLOOKUP(6202,收盤價!A:C,3,0)</f>
        <v>51.5</v>
      </c>
      <c r="P35" s="19">
        <f>VLOOKUP(6202,PSR!A:J,10,0)</f>
        <v>16.27209641031499</v>
      </c>
      <c r="Q35" s="19">
        <f>VLOOKUP(6202,PSR!A:J,9,0)</f>
        <v>2.9714447316299251</v>
      </c>
      <c r="R35" s="19">
        <f>VLOOKUP(6202,葛林公式!A:N,12,0)</f>
        <v>97</v>
      </c>
      <c r="S35" s="196">
        <v>5</v>
      </c>
      <c r="T35" s="32"/>
    </row>
    <row r="36" spans="1:20">
      <c r="A36" s="448" t="str">
        <f>HYPERLINK("http://www.wantgoo.com/stock/chart.aspx?stockno=4919","4919")</f>
        <v>4919</v>
      </c>
      <c r="C36" s="18">
        <f>VLOOKUP(4919,季財報!A:H,3)</f>
        <v>0</v>
      </c>
      <c r="D36" s="18">
        <f>VLOOKUP(4919,季財報!A:H,4)</f>
        <v>1</v>
      </c>
      <c r="E36" s="18">
        <f>VLOOKUP(4919,季財報!A:H,5)</f>
        <v>0</v>
      </c>
      <c r="F36" s="18">
        <f>VLOOKUP(4919,季財報!A:H,6)</f>
        <v>1</v>
      </c>
      <c r="G36" s="18">
        <f>VLOOKUP(4919,季財報!A:H,7)</f>
        <v>0</v>
      </c>
      <c r="H36" s="20">
        <v>1</v>
      </c>
      <c r="I36" s="20">
        <v>0</v>
      </c>
      <c r="J36" s="20">
        <v>0</v>
      </c>
      <c r="K36" s="20">
        <v>0</v>
      </c>
      <c r="L36" s="20">
        <v>0</v>
      </c>
      <c r="M36" s="58">
        <v>1</v>
      </c>
      <c r="N36" s="20">
        <f>SUM(C36:M36)</f>
        <v>4</v>
      </c>
      <c r="O36" s="19">
        <f>VLOOKUP(4919,收盤價!A:C,3,0)</f>
        <v>31.05</v>
      </c>
      <c r="P36" s="19">
        <f>VLOOKUP(4919,PSR!A:J,10,0)</f>
        <v>14.629307761462391</v>
      </c>
      <c r="Q36" s="19">
        <f>VLOOKUP(4919,PSR!A:J,9,0)</f>
        <v>0.92220176130472309</v>
      </c>
      <c r="R36" s="19">
        <f>VLOOKUP(4919,葛林公式!A:N,12,0)</f>
        <v>190</v>
      </c>
      <c r="S36" s="196">
        <v>7</v>
      </c>
      <c r="T36" s="32"/>
    </row>
    <row r="37" spans="1:20">
      <c r="A37" s="448" t="str">
        <f>HYPERLINK("http://www.wantgoo.com/stock/chart.aspx?stockno=5522","5522")</f>
        <v>5522</v>
      </c>
      <c r="C37" s="18">
        <f>VLOOKUP(5522,季財報!A:H,3)</f>
        <v>0</v>
      </c>
      <c r="D37" s="18">
        <f>VLOOKUP(5522,季財報!A:H,4)</f>
        <v>1</v>
      </c>
      <c r="E37" s="18">
        <f>VLOOKUP(5522,季財報!A:H,5)</f>
        <v>0</v>
      </c>
      <c r="F37" s="18">
        <f>VLOOKUP(5522,季財報!A:H,6)</f>
        <v>1</v>
      </c>
      <c r="G37" s="18">
        <f>VLOOKUP(5522,季財報!A:H,7)</f>
        <v>0</v>
      </c>
      <c r="H37" s="20">
        <v>0</v>
      </c>
      <c r="I37" s="20">
        <v>1</v>
      </c>
      <c r="J37" s="20">
        <v>0</v>
      </c>
      <c r="K37" s="20">
        <v>1</v>
      </c>
      <c r="L37" s="20">
        <v>0</v>
      </c>
      <c r="M37" s="58">
        <v>0</v>
      </c>
      <c r="N37" s="20">
        <f>SUM(C37:M37)</f>
        <v>4</v>
      </c>
      <c r="O37" s="19">
        <f>VLOOKUP(5522,收盤價!A:C,3,0)</f>
        <v>34.75</v>
      </c>
      <c r="P37" s="19">
        <f>VLOOKUP(5522,PSR!A:J,10,0)</f>
        <v>6.9984198042916752</v>
      </c>
      <c r="Q37" s="19">
        <f>VLOOKUP(5522,PSR!A:J,9,0)</f>
        <v>1.0141555263493951</v>
      </c>
      <c r="R37" s="19">
        <f>VLOOKUP(5522,葛林公式!A:N,12,0)</f>
        <v>425</v>
      </c>
      <c r="S37" s="196">
        <v>6</v>
      </c>
      <c r="T37" s="32"/>
    </row>
    <row r="38" spans="1:20">
      <c r="A38" s="449" t="str">
        <f>HYPERLINK("http://www.wantgoo.com/stock/chart.aspx?stockno=6210","6210")</f>
        <v>6210</v>
      </c>
      <c r="C38" s="18">
        <f>VLOOKUP(6210,季財報!A:H,3)</f>
        <v>0</v>
      </c>
      <c r="D38" s="18">
        <f>VLOOKUP(6210,季財報!A:H,4)</f>
        <v>1</v>
      </c>
      <c r="E38" s="18">
        <f>VLOOKUP(6210,季財報!A:H,5)</f>
        <v>0</v>
      </c>
      <c r="F38" s="18">
        <f>VLOOKUP(6210,季財報!A:H,6)</f>
        <v>1</v>
      </c>
      <c r="G38" s="18">
        <f>VLOOKUP(6210,季財報!A:H,7)</f>
        <v>0</v>
      </c>
      <c r="H38" s="20">
        <v>1</v>
      </c>
      <c r="I38" s="20">
        <v>0</v>
      </c>
      <c r="J38" s="20">
        <v>0</v>
      </c>
      <c r="K38" s="20">
        <v>1</v>
      </c>
      <c r="L38" s="20">
        <v>0</v>
      </c>
      <c r="M38" s="58">
        <v>0</v>
      </c>
      <c r="N38" s="20">
        <f>SUM(C38:M38)</f>
        <v>4</v>
      </c>
      <c r="O38" s="19">
        <f>VLOOKUP(6210,收盤價!A:C,3,0)</f>
        <v>45</v>
      </c>
      <c r="P38" s="19">
        <f>VLOOKUP(6210,PSR!A:J,10,0)</f>
        <v>9.3711435623200341</v>
      </c>
      <c r="Q38" s="19">
        <f>VLOOKUP(6210,PSR!A:J,9,0)</f>
        <v>1.5560193845713735</v>
      </c>
      <c r="R38" s="19">
        <f>VLOOKUP(6210,葛林公式!A:N,12,0)</f>
        <v>121</v>
      </c>
      <c r="S38" s="196">
        <v>6</v>
      </c>
      <c r="T38" s="32"/>
    </row>
    <row r="39" spans="1:20">
      <c r="A39" s="449" t="str">
        <f>HYPERLINK("http://www.wantgoo.com/stock/chart.aspx?stockno=6263","6263")</f>
        <v>6263</v>
      </c>
      <c r="C39" s="18">
        <f>VLOOKUP(6263,季財報!A:H,3)</f>
        <v>0</v>
      </c>
      <c r="D39" s="18">
        <f>VLOOKUP(6263,季財報!A:H,4)</f>
        <v>1</v>
      </c>
      <c r="E39" s="18">
        <f>VLOOKUP(6263,季財報!A:H,5)</f>
        <v>0</v>
      </c>
      <c r="F39" s="18">
        <f>VLOOKUP(6263,季財報!A:H,6)</f>
        <v>1</v>
      </c>
      <c r="G39" s="18">
        <f>VLOOKUP(6263,季財報!A:H,7)</f>
        <v>0</v>
      </c>
      <c r="H39" s="20">
        <v>1</v>
      </c>
      <c r="I39" s="20">
        <v>0</v>
      </c>
      <c r="J39" s="20">
        <v>0</v>
      </c>
      <c r="K39" s="20">
        <v>1</v>
      </c>
      <c r="L39" s="20">
        <v>0</v>
      </c>
      <c r="M39" s="58">
        <v>0</v>
      </c>
      <c r="N39" s="20">
        <f>SUM(C39:M39)</f>
        <v>4</v>
      </c>
      <c r="O39" s="19">
        <f>VLOOKUP(6263,收盤價!A:C,3,0)</f>
        <v>43.1</v>
      </c>
      <c r="P39" s="19">
        <f>VLOOKUP(6263,PSR!A:J,10,0)</f>
        <v>11.514250405499341</v>
      </c>
      <c r="Q39" s="19">
        <f>VLOOKUP(6263,PSR!A:J,9,0)</f>
        <v>2.1384804637060522</v>
      </c>
      <c r="R39" s="19">
        <f>VLOOKUP(6263,葛林公式!A:N,12,0)</f>
        <v>121</v>
      </c>
      <c r="S39" s="196">
        <v>6</v>
      </c>
      <c r="T39" s="32"/>
    </row>
    <row r="40" spans="1:20">
      <c r="A40" s="449" t="str">
        <f>HYPERLINK("http://www.wantgoo.com/stock/chart.aspx?stockno=6422","6422")</f>
        <v>6422</v>
      </c>
      <c r="C40" s="18">
        <f>VLOOKUP(6422,季財報!A:H,3)</f>
        <v>0</v>
      </c>
      <c r="D40" s="18">
        <f>VLOOKUP(6422,季財報!A:H,4)</f>
        <v>1</v>
      </c>
      <c r="E40" s="18">
        <f>VLOOKUP(6422,季財報!A:H,5)</f>
        <v>0</v>
      </c>
      <c r="F40" s="18">
        <f>VLOOKUP(6422,季財報!A:H,6)</f>
        <v>1</v>
      </c>
      <c r="G40" s="18">
        <f>VLOOKUP(6422,季財報!A:H,7)</f>
        <v>0</v>
      </c>
      <c r="H40" s="20">
        <v>1</v>
      </c>
      <c r="I40" s="20">
        <v>1</v>
      </c>
      <c r="J40" s="20">
        <v>0</v>
      </c>
      <c r="K40" s="20">
        <v>0</v>
      </c>
      <c r="L40" s="20">
        <v>0</v>
      </c>
      <c r="M40" s="58">
        <v>0</v>
      </c>
      <c r="N40" s="20">
        <f>SUM(C40:M40)</f>
        <v>4</v>
      </c>
      <c r="O40" s="19">
        <f>VLOOKUP(6422,收盤價!A:C,3,0)</f>
        <v>50.3</v>
      </c>
      <c r="P40" s="19">
        <f>VLOOKUP(6422,PSR!A:J,10,0)</f>
        <v>8.4467053117236475</v>
      </c>
      <c r="Q40" s="19">
        <f>VLOOKUP(6422,PSR!A:J,9,0)</f>
        <v>0.90565105499989473</v>
      </c>
      <c r="R40" s="19">
        <f>VLOOKUP(6422,葛林公式!A:N,12,0)</f>
        <v>121</v>
      </c>
      <c r="S40" s="196">
        <v>7</v>
      </c>
      <c r="T40" s="32"/>
    </row>
    <row r="41" spans="1:20">
      <c r="A41" s="449" t="str">
        <f>HYPERLINK("http://www.wantgoo.com/stock/chart.aspx?stockno=2114","2114")</f>
        <v>2114</v>
      </c>
      <c r="C41" s="18">
        <f>VLOOKUP(2114,季財報!A:H,3)</f>
        <v>1</v>
      </c>
      <c r="D41" s="18">
        <f>VLOOKUP(2114,季財報!A:H,4)</f>
        <v>1</v>
      </c>
      <c r="E41" s="18">
        <f>VLOOKUP(2114,季財報!A:H,5)</f>
        <v>1</v>
      </c>
      <c r="F41" s="18">
        <f>VLOOKUP(2114,季財報!A:H,6)</f>
        <v>1</v>
      </c>
      <c r="G41" s="18">
        <f>VLOOKUP(2114,季財報!A:H,7)</f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58">
        <v>0</v>
      </c>
      <c r="N41" s="20">
        <f>SUM(C41:M41)</f>
        <v>4</v>
      </c>
      <c r="O41" s="19">
        <f>VLOOKUP(2114,收盤價!A:C,3,0)</f>
        <v>72.7</v>
      </c>
      <c r="P41" s="19">
        <f>VLOOKUP(2114,PSR!A:J,10,0)</f>
        <v>11.171749598715891</v>
      </c>
      <c r="Q41" s="19">
        <f>VLOOKUP(2114,PSR!A:J,9,0)</f>
        <v>2.5688087384070042</v>
      </c>
      <c r="R41" s="19">
        <f>VLOOKUP(2114,葛林公式!A:N,12,0)</f>
        <v>153</v>
      </c>
      <c r="S41" s="196">
        <v>6</v>
      </c>
      <c r="T41" s="32"/>
    </row>
    <row r="42" spans="1:20">
      <c r="A42" s="448" t="str">
        <f>HYPERLINK("http://www.wantgoo.com/stock/chart.aspx?stockno=2354","2354")</f>
        <v>2354</v>
      </c>
      <c r="C42" s="18">
        <f>VLOOKUP(2354,季財報!A:H,3)</f>
        <v>1</v>
      </c>
      <c r="D42" s="18">
        <f>VLOOKUP(2354,季財報!A:H,4)</f>
        <v>1</v>
      </c>
      <c r="E42" s="18">
        <f>VLOOKUP(2354,季財報!A:H,5)</f>
        <v>1</v>
      </c>
      <c r="F42" s="18">
        <f>VLOOKUP(2354,季財報!A:H,6)</f>
        <v>1</v>
      </c>
      <c r="G42" s="18">
        <f>VLOOKUP(2354,季財報!A:H,7)</f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58">
        <v>0</v>
      </c>
      <c r="N42" s="20">
        <f>SUM(C42:M42)</f>
        <v>4</v>
      </c>
      <c r="O42" s="19">
        <f>VLOOKUP(2354,收盤價!A:C,3,0)</f>
        <v>71.3</v>
      </c>
      <c r="P42" s="19">
        <f>VLOOKUP(2354,PSR!A:J,10,0)</f>
        <v>10.712853306931265</v>
      </c>
      <c r="Q42" s="19">
        <f>VLOOKUP(2354,PSR!A:J,9,0)</f>
        <v>0.90194627017419082</v>
      </c>
      <c r="R42" s="19">
        <f>VLOOKUP(2354,葛林公式!A:N,12,0)</f>
        <v>366</v>
      </c>
      <c r="S42" s="196">
        <v>7</v>
      </c>
      <c r="T42" s="32"/>
    </row>
    <row r="43" spans="1:20">
      <c r="A43" s="449" t="str">
        <f>HYPERLINK("http://www.wantgoo.com/stock/chart.aspx?stockno=3490","3490")</f>
        <v>3490</v>
      </c>
      <c r="C43" s="18">
        <f>VLOOKUP(3490,季財報!A:H,3)</f>
        <v>0</v>
      </c>
      <c r="D43" s="18">
        <f>VLOOKUP(3490,季財報!A:H,4)</f>
        <v>1</v>
      </c>
      <c r="E43" s="18">
        <f>VLOOKUP(3490,季財報!A:H,5)</f>
        <v>2</v>
      </c>
      <c r="F43" s="18">
        <f>VLOOKUP(3490,季財報!A:H,6)</f>
        <v>1</v>
      </c>
      <c r="G43" s="18">
        <f>VLOOKUP(3490,季財報!A:H,7)</f>
        <v>0</v>
      </c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58">
        <v>0</v>
      </c>
      <c r="N43" s="20">
        <f>SUM(C43:M43)</f>
        <v>4</v>
      </c>
      <c r="O43" s="19">
        <f>VLOOKUP(3490,收盤價!A:C,3,0)</f>
        <v>66.599999999999994</v>
      </c>
      <c r="P43" s="19">
        <f>VLOOKUP(3490,PSR!A:J,10,0)</f>
        <v>14.096889144092414</v>
      </c>
      <c r="Q43" s="19">
        <f>VLOOKUP(3490,PSR!A:J,9,0)</f>
        <v>1.7190252210442718</v>
      </c>
      <c r="R43" s="19">
        <f>VLOOKUP(3490,葛林公式!A:N,12,0)</f>
        <v>190</v>
      </c>
      <c r="S43" s="196">
        <v>6</v>
      </c>
      <c r="T43" s="32"/>
    </row>
    <row r="44" spans="1:20">
      <c r="A44" s="449" t="str">
        <f>HYPERLINK("http://www.wantgoo.com/stock/chart.aspx?stockno=3564","3564")</f>
        <v>3564</v>
      </c>
      <c r="C44" s="18">
        <f>VLOOKUP(3564,季財報!A:H,3)</f>
        <v>0</v>
      </c>
      <c r="D44" s="18">
        <f>VLOOKUP(3564,季財報!A:H,4)</f>
        <v>1</v>
      </c>
      <c r="E44" s="18">
        <f>VLOOKUP(3564,季財報!A:H,5)</f>
        <v>2</v>
      </c>
      <c r="F44" s="18">
        <f>VLOOKUP(3564,季財報!A:H,6)</f>
        <v>1</v>
      </c>
      <c r="G44" s="18">
        <f>VLOOKUP(3564,季財報!A:H,7)</f>
        <v>0</v>
      </c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58">
        <v>0</v>
      </c>
      <c r="N44" s="20">
        <f>SUM(C44:M44)</f>
        <v>4</v>
      </c>
      <c r="O44" s="19">
        <f>VLOOKUP(3564,收盤價!A:C,3,0)</f>
        <v>60.7</v>
      </c>
      <c r="P44" s="19">
        <f>VLOOKUP(3564,PSR!A:J,10,0)</f>
        <v>9.745732574679943</v>
      </c>
      <c r="Q44" s="19">
        <f>VLOOKUP(3564,PSR!A:J,9,0)</f>
        <v>0.89903837982768497</v>
      </c>
      <c r="R44" s="19">
        <f>VLOOKUP(3564,葛林公式!A:N,12,0)</f>
        <v>277</v>
      </c>
      <c r="S44" s="196">
        <v>7</v>
      </c>
      <c r="T44" s="32"/>
    </row>
    <row r="45" spans="1:20">
      <c r="A45" s="448" t="str">
        <f>HYPERLINK("http://www.wantgoo.com/stock/chart.aspx?stockno=2383","2383")</f>
        <v>2383</v>
      </c>
      <c r="C45" s="18">
        <f>VLOOKUP(2383,季財報!A:H,3)</f>
        <v>1</v>
      </c>
      <c r="D45" s="18">
        <f>VLOOKUP(2383,季財報!A:H,4)</f>
        <v>1</v>
      </c>
      <c r="E45" s="18">
        <f>VLOOKUP(2383,季財報!A:H,5)</f>
        <v>2</v>
      </c>
      <c r="F45" s="18">
        <f>VLOOKUP(2383,季財報!A:H,6)</f>
        <v>0</v>
      </c>
      <c r="G45" s="18">
        <f>VLOOKUP(2383,季財報!A:H,7)</f>
        <v>0</v>
      </c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58">
        <v>0</v>
      </c>
      <c r="N45" s="20">
        <f>SUM(C45:M45)</f>
        <v>4</v>
      </c>
      <c r="O45" s="19">
        <f>VLOOKUP(2383,收盤價!A:C,3,0)</f>
        <v>59</v>
      </c>
      <c r="P45" s="19">
        <f>VLOOKUP(2383,PSR!A:J,10,0)</f>
        <v>5.9832511635112109</v>
      </c>
      <c r="Q45" s="19">
        <f>VLOOKUP(2383,PSR!A:J,9,0)</f>
        <v>0.85282074677143849</v>
      </c>
      <c r="R45" s="19">
        <f>VLOOKUP(2383,葛林公式!A:N,12,0)</f>
        <v>24</v>
      </c>
      <c r="S45" s="196">
        <v>6</v>
      </c>
      <c r="T45" s="32"/>
    </row>
    <row r="46" spans="1:20">
      <c r="A46" s="449" t="str">
        <f>HYPERLINK("http://www.wantgoo.com/stock/chart.aspx?stockno=2108","2108")</f>
        <v>2108</v>
      </c>
      <c r="C46" s="18">
        <f>VLOOKUP(2108,季財報!A:H,3)</f>
        <v>1</v>
      </c>
      <c r="D46" s="18">
        <f>VLOOKUP(2108,季財報!A:H,4)</f>
        <v>1</v>
      </c>
      <c r="E46" s="18">
        <f>VLOOKUP(2108,季財報!A:H,5)</f>
        <v>1</v>
      </c>
      <c r="F46" s="18">
        <f>VLOOKUP(2108,季財報!A:H,6)</f>
        <v>1</v>
      </c>
      <c r="G46" s="18">
        <f>VLOOKUP(2108,季財報!A:H,7)</f>
        <v>0</v>
      </c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58">
        <v>0</v>
      </c>
      <c r="N46" s="20">
        <f>SUM(C46:M46)</f>
        <v>4</v>
      </c>
      <c r="O46" s="19">
        <f>VLOOKUP(2108,收盤價!A:C,3,0)</f>
        <v>24.1</v>
      </c>
      <c r="P46" s="19">
        <f>VLOOKUP(2108,PSR!A:J,10,0)</f>
        <v>8.5865960633290541</v>
      </c>
      <c r="Q46" s="19">
        <f>VLOOKUP(2108,PSR!A:J,9,0)</f>
        <v>1.0660137887386685</v>
      </c>
      <c r="R46" s="19">
        <f>VLOOKUP(2108,葛林公式!A:N,12,0)</f>
        <v>121</v>
      </c>
      <c r="S46" s="196">
        <v>6</v>
      </c>
      <c r="T46" s="32"/>
    </row>
    <row r="47" spans="1:20">
      <c r="A47" s="449" t="str">
        <f>HYPERLINK("http://www.wantgoo.com/stock/chart.aspx?stockno=3559","3559")</f>
        <v>3559</v>
      </c>
      <c r="C47" s="18">
        <f>VLOOKUP(3559,季財報!A:H,3)</f>
        <v>1</v>
      </c>
      <c r="D47" s="18">
        <f>VLOOKUP(3559,季財報!A:H,4)</f>
        <v>1</v>
      </c>
      <c r="E47" s="18">
        <f>VLOOKUP(3559,季財報!A:H,5)</f>
        <v>1</v>
      </c>
      <c r="F47" s="18">
        <f>VLOOKUP(3559,季財報!A:H,6)</f>
        <v>1</v>
      </c>
      <c r="G47" s="18">
        <f>VLOOKUP(3559,季財報!A:H,7)</f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58">
        <v>0</v>
      </c>
      <c r="N47" s="20">
        <f>SUM(C47:M47)</f>
        <v>4</v>
      </c>
      <c r="O47" s="19">
        <f>VLOOKUP(3559,收盤價!A:C,3,0)</f>
        <v>20.399999999999999</v>
      </c>
      <c r="P47" s="19">
        <f>VLOOKUP(3559,PSR!A:J,10,0)</f>
        <v>8.2349498327759196</v>
      </c>
      <c r="Q47" s="19">
        <f>VLOOKUP(3559,PSR!A:J,9,0)</f>
        <v>1.5831477466727315</v>
      </c>
      <c r="R47" s="19">
        <f>VLOOKUP(3559,葛林公式!A:N,12,0)</f>
        <v>190</v>
      </c>
      <c r="S47" s="196">
        <v>6</v>
      </c>
      <c r="T47" s="32"/>
    </row>
    <row r="48" spans="1:20">
      <c r="A48" s="448" t="str">
        <f>HYPERLINK("http://www.wantgoo.com/stock/chart.aspx?stockno=8086","8086")</f>
        <v>8086</v>
      </c>
      <c r="C48" s="18">
        <f>VLOOKUP(8086,季財報!A:H,3)</f>
        <v>0</v>
      </c>
      <c r="D48" s="18">
        <f>VLOOKUP(8086,季財報!A:H,4)</f>
        <v>0</v>
      </c>
      <c r="E48" s="18">
        <f>VLOOKUP(8086,季財報!A:H,5)</f>
        <v>0</v>
      </c>
      <c r="F48" s="18">
        <f>VLOOKUP(8086,季財報!A:H,6)</f>
        <v>0</v>
      </c>
      <c r="G48" s="18">
        <f>VLOOKUP(8086,季財報!A:H,7)</f>
        <v>0</v>
      </c>
      <c r="H48" s="20">
        <v>1</v>
      </c>
      <c r="I48" s="20">
        <v>0</v>
      </c>
      <c r="J48" s="20">
        <v>0</v>
      </c>
      <c r="K48" s="20">
        <v>1</v>
      </c>
      <c r="L48" s="20">
        <v>0</v>
      </c>
      <c r="M48" s="58">
        <v>1</v>
      </c>
      <c r="N48" s="20">
        <f>SUM(C48:M48)</f>
        <v>3</v>
      </c>
      <c r="O48" s="19">
        <f>VLOOKUP(8086,收盤價!A:C,3,0)</f>
        <v>89</v>
      </c>
      <c r="P48" s="19">
        <f>VLOOKUP(8086,PSR!A:J,10,0)</f>
        <v>11.112121212121211</v>
      </c>
      <c r="Q48" s="19">
        <f>VLOOKUP(8086,PSR!A:J,9,0)</f>
        <v>3.0362120450593002</v>
      </c>
      <c r="R48" s="19">
        <f>VLOOKUP(8086,葛林公式!A:N,12,0)</f>
        <v>15</v>
      </c>
      <c r="S48" s="196">
        <v>4</v>
      </c>
      <c r="T48" s="32"/>
    </row>
    <row r="49" spans="1:20">
      <c r="A49" s="449" t="str">
        <f>HYPERLINK("http://www.wantgoo.com/stock/chart.aspx?stockno=5349","5349")</f>
        <v>5349</v>
      </c>
      <c r="C49" s="18">
        <f>VLOOKUP(5349,季財報!A:H,3)</f>
        <v>0</v>
      </c>
      <c r="D49" s="18">
        <f>VLOOKUP(5349,季財報!A:H,4)</f>
        <v>1</v>
      </c>
      <c r="E49" s="18">
        <f>VLOOKUP(5349,季財報!A:H,5)</f>
        <v>0</v>
      </c>
      <c r="F49" s="18">
        <f>VLOOKUP(5349,季財報!A:H,6)</f>
        <v>1</v>
      </c>
      <c r="G49" s="18">
        <f>VLOOKUP(5349,季財報!A:H,7)</f>
        <v>0</v>
      </c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58">
        <v>1</v>
      </c>
      <c r="N49" s="20">
        <f>SUM(C49:M49)</f>
        <v>3</v>
      </c>
      <c r="O49" s="19">
        <f>VLOOKUP(5349,收盤價!A:C,3,0)</f>
        <v>32.4</v>
      </c>
      <c r="P49" s="19">
        <f>VLOOKUP(5349,PSR!A:J,10,0)</f>
        <v>19.605416666666667</v>
      </c>
      <c r="Q49" s="19">
        <f>VLOOKUP(5349,PSR!A:J,9,0)</f>
        <v>0.84173214797443063</v>
      </c>
      <c r="R49" s="19">
        <f>VLOOKUP(5349,葛林公式!A:N,12,0)</f>
        <v>510</v>
      </c>
      <c r="S49" s="196">
        <v>5</v>
      </c>
      <c r="T49" s="32"/>
    </row>
    <row r="50" spans="1:20">
      <c r="A50" s="449" t="str">
        <f>HYPERLINK("http://www.wantgoo.com/stock/chart.aspx?stockno=6269","6269")</f>
        <v>6269</v>
      </c>
      <c r="C50" s="18">
        <f>VLOOKUP(6269,季財報!A:H,3)</f>
        <v>0</v>
      </c>
      <c r="D50" s="18">
        <f>VLOOKUP(6269,季財報!A:H,4)</f>
        <v>1</v>
      </c>
      <c r="E50" s="18">
        <f>VLOOKUP(6269,季財報!A:H,5)</f>
        <v>0</v>
      </c>
      <c r="F50" s="18">
        <f>VLOOKUP(6269,季財報!A:H,6)</f>
        <v>1</v>
      </c>
      <c r="G50" s="18">
        <f>VLOOKUP(6269,季財報!A:H,7)</f>
        <v>0</v>
      </c>
      <c r="H50" s="20">
        <v>0</v>
      </c>
      <c r="I50" s="20">
        <v>0</v>
      </c>
      <c r="J50" s="20">
        <v>0</v>
      </c>
      <c r="K50" s="20">
        <v>1</v>
      </c>
      <c r="L50" s="20">
        <v>0</v>
      </c>
      <c r="M50" s="58">
        <v>0</v>
      </c>
      <c r="N50" s="20">
        <f>SUM(C50:M50)</f>
        <v>3</v>
      </c>
      <c r="O50" s="19">
        <f>VLOOKUP(6269,收盤價!A:C,3,0)</f>
        <v>81.3</v>
      </c>
      <c r="P50" s="19">
        <f>VLOOKUP(6269,PSR!A:J,10,0)</f>
        <v>6.6899947883983373</v>
      </c>
      <c r="Q50" s="19">
        <f>VLOOKUP(6269,PSR!A:J,9,0)</f>
        <v>1.1345633280768281</v>
      </c>
      <c r="R50" s="19">
        <f>VLOOKUP(6269,葛林公式!A:N,12,0)</f>
        <v>153</v>
      </c>
      <c r="S50" s="196">
        <v>5</v>
      </c>
      <c r="T50" s="32"/>
    </row>
    <row r="51" spans="1:20">
      <c r="A51" s="449" t="str">
        <f>HYPERLINK("http://www.wantgoo.com/stock/chart.aspx?stockno=6224","6224")</f>
        <v>6224</v>
      </c>
      <c r="C51" s="18">
        <f>VLOOKUP(6224,季財報!A:H,3)</f>
        <v>0</v>
      </c>
      <c r="D51" s="18">
        <f>VLOOKUP(6224,季財報!A:H,4)</f>
        <v>1</v>
      </c>
      <c r="E51" s="18">
        <f>VLOOKUP(6224,季財報!A:H,5)</f>
        <v>0</v>
      </c>
      <c r="F51" s="18">
        <f>VLOOKUP(6224,季財報!A:H,6)</f>
        <v>1</v>
      </c>
      <c r="G51" s="18">
        <f>VLOOKUP(6224,季財報!A:H,7)</f>
        <v>0</v>
      </c>
      <c r="H51" s="20">
        <v>0</v>
      </c>
      <c r="I51" s="20">
        <v>0</v>
      </c>
      <c r="J51" s="20">
        <v>0</v>
      </c>
      <c r="K51" s="20">
        <v>1</v>
      </c>
      <c r="L51" s="20">
        <v>0</v>
      </c>
      <c r="M51" s="58">
        <v>0</v>
      </c>
      <c r="N51" s="20">
        <f>SUM(C51:M51)</f>
        <v>3</v>
      </c>
      <c r="O51" s="19">
        <f>VLOOKUP(6224,收盤價!A:C,3,0)</f>
        <v>65.7</v>
      </c>
      <c r="P51" s="19">
        <f>VLOOKUP(6224,PSR!A:J,10,0)</f>
        <v>11.475243506493506</v>
      </c>
      <c r="Q51" s="19">
        <f>VLOOKUP(6224,PSR!A:J,9,0)</f>
        <v>3.1542143943787049</v>
      </c>
      <c r="R51" s="19">
        <f>VLOOKUP(6224,葛林公式!A:N,12,0)</f>
        <v>81</v>
      </c>
      <c r="S51" s="196">
        <v>4</v>
      </c>
      <c r="T51" s="32"/>
    </row>
    <row r="52" spans="1:20">
      <c r="A52" s="449" t="str">
        <f>HYPERLINK("http://www.wantgoo.com/stock/chart.aspx?stockno=6105","6105")</f>
        <v>6105</v>
      </c>
      <c r="C52" s="18">
        <f>VLOOKUP(6105,季財報!A:H,3)</f>
        <v>0</v>
      </c>
      <c r="D52" s="18">
        <f>VLOOKUP(6105,季財報!A:H,4)</f>
        <v>1</v>
      </c>
      <c r="E52" s="18">
        <f>VLOOKUP(6105,季財報!A:H,5)</f>
        <v>0</v>
      </c>
      <c r="F52" s="18">
        <f>VLOOKUP(6105,季財報!A:H,6)</f>
        <v>1</v>
      </c>
      <c r="G52" s="18">
        <f>VLOOKUP(6105,季財報!A:H,7)</f>
        <v>0</v>
      </c>
      <c r="H52" s="20">
        <v>0</v>
      </c>
      <c r="I52" s="20">
        <v>0</v>
      </c>
      <c r="J52" s="20">
        <v>0</v>
      </c>
      <c r="K52" s="20">
        <v>1</v>
      </c>
      <c r="L52" s="20">
        <v>0</v>
      </c>
      <c r="M52" s="58">
        <v>0</v>
      </c>
      <c r="N52" s="20">
        <f>SUM(C52:M52)</f>
        <v>3</v>
      </c>
      <c r="O52" s="19">
        <f>VLOOKUP(6105,收盤價!A:C,3,0)</f>
        <v>41.7</v>
      </c>
      <c r="P52" s="19">
        <f>VLOOKUP(6105,PSR!A:J,10,0)</f>
        <v>31.349999999999998</v>
      </c>
      <c r="Q52" s="19">
        <f>VLOOKUP(6105,PSR!A:J,9,0)</f>
        <v>0.73696542709268265</v>
      </c>
      <c r="R52" s="19">
        <f>VLOOKUP(6105,葛林公式!A:N,12,0)</f>
        <v>413</v>
      </c>
      <c r="S52" s="196">
        <v>5</v>
      </c>
      <c r="T52" s="32"/>
    </row>
    <row r="53" spans="1:20">
      <c r="A53" s="449" t="str">
        <f>HYPERLINK("http://www.wantgoo.com/stock/chart.aspx?stockno=4974","4974")</f>
        <v>4974</v>
      </c>
      <c r="C53" s="18">
        <f>VLOOKUP(4974,季財報!A:H,3)</f>
        <v>1</v>
      </c>
      <c r="D53" s="18">
        <f>VLOOKUP(4974,季財報!A:H,4)</f>
        <v>1</v>
      </c>
      <c r="E53" s="18">
        <f>VLOOKUP(4974,季財報!A:H,5)</f>
        <v>0</v>
      </c>
      <c r="F53" s="18">
        <f>VLOOKUP(4974,季財報!A:H,6)</f>
        <v>0</v>
      </c>
      <c r="G53" s="18">
        <f>VLOOKUP(4974,季財報!A:H,7)</f>
        <v>0</v>
      </c>
      <c r="H53" s="20">
        <v>0</v>
      </c>
      <c r="I53" s="20">
        <v>0</v>
      </c>
      <c r="J53" s="20">
        <v>0</v>
      </c>
      <c r="K53" s="20">
        <v>1</v>
      </c>
      <c r="L53" s="20">
        <v>0</v>
      </c>
      <c r="M53" s="58">
        <v>0</v>
      </c>
      <c r="N53" s="20">
        <f>SUM(C53:M53)</f>
        <v>3</v>
      </c>
      <c r="O53" s="19">
        <f>VLOOKUP(4974,收盤價!A:C,3,0)</f>
        <v>36.799999999999997</v>
      </c>
      <c r="P53" s="19">
        <f>VLOOKUP(4974,PSR!A:J,10,0)</f>
        <v>7.8612012987012987</v>
      </c>
      <c r="Q53" s="19">
        <f>VLOOKUP(4974,PSR!A:J,9,0)</f>
        <v>0.6413932048004376</v>
      </c>
      <c r="R53" s="19">
        <f>VLOOKUP(4974,葛林公式!A:N,12,0)</f>
        <v>277</v>
      </c>
      <c r="S53" s="196">
        <v>6</v>
      </c>
      <c r="T53" s="32"/>
    </row>
    <row r="54" spans="1:20">
      <c r="A54" s="449" t="str">
        <f>HYPERLINK("http://www.wantgoo.com/stock/chart.aspx?stockno=4972","4972")</f>
        <v>4972</v>
      </c>
      <c r="C54" s="18">
        <f>VLOOKUP(4972,季財報!A:H,3)</f>
        <v>0</v>
      </c>
      <c r="D54" s="18">
        <f>VLOOKUP(4972,季財報!A:H,4)</f>
        <v>0</v>
      </c>
      <c r="E54" s="18">
        <f>VLOOKUP(4972,季財報!A:H,5)</f>
        <v>2</v>
      </c>
      <c r="F54" s="18">
        <f>VLOOKUP(4972,季財報!A:H,6)</f>
        <v>0</v>
      </c>
      <c r="G54" s="18">
        <f>VLOOKUP(4972,季財報!A:H,7)</f>
        <v>0</v>
      </c>
      <c r="H54" s="20">
        <v>0</v>
      </c>
      <c r="I54" s="20">
        <v>0</v>
      </c>
      <c r="J54" s="20">
        <v>0</v>
      </c>
      <c r="K54" s="20">
        <v>1</v>
      </c>
      <c r="L54" s="20">
        <v>0</v>
      </c>
      <c r="M54" s="58">
        <v>0</v>
      </c>
      <c r="N54" s="20">
        <f>SUM(C54:M54)</f>
        <v>3</v>
      </c>
      <c r="O54" s="19">
        <f>VLOOKUP(4972,收盤價!A:C,3,0)</f>
        <v>35.35</v>
      </c>
      <c r="P54" s="19">
        <f>VLOOKUP(4972,PSR!A:J,10,0)</f>
        <v>9.1611541970802914</v>
      </c>
      <c r="Q54" s="19">
        <f>VLOOKUP(4972,PSR!A:J,9,0)</f>
        <v>1.0445630963488028</v>
      </c>
      <c r="R54" s="19">
        <f>VLOOKUP(4972,葛林公式!A:N,12,0)</f>
        <v>244</v>
      </c>
      <c r="S54" s="196">
        <v>5</v>
      </c>
      <c r="T54" s="32"/>
    </row>
    <row r="55" spans="1:20">
      <c r="A55" s="449" t="str">
        <f>HYPERLINK("http://www.wantgoo.com/stock/chart.aspx?stockno=4722","4722")</f>
        <v>4722</v>
      </c>
      <c r="C55" s="18">
        <f>VLOOKUP(4722,季財報!A:H,3)</f>
        <v>0</v>
      </c>
      <c r="D55" s="18">
        <f>VLOOKUP(4722,季財報!A:H,4)</f>
        <v>1</v>
      </c>
      <c r="E55" s="18">
        <f>VLOOKUP(4722,季財報!A:H,5)</f>
        <v>1</v>
      </c>
      <c r="F55" s="18">
        <f>VLOOKUP(4722,季財報!A:H,6)</f>
        <v>0</v>
      </c>
      <c r="G55" s="18">
        <f>VLOOKUP(4722,季財報!A:H,7)</f>
        <v>0</v>
      </c>
      <c r="H55" s="20">
        <v>0</v>
      </c>
      <c r="I55" s="20">
        <v>0</v>
      </c>
      <c r="J55" s="20">
        <v>0</v>
      </c>
      <c r="K55" s="20">
        <v>1</v>
      </c>
      <c r="L55" s="20">
        <v>0</v>
      </c>
      <c r="M55" s="58">
        <v>0</v>
      </c>
      <c r="N55" s="20">
        <f>SUM(C55:M55)</f>
        <v>3</v>
      </c>
      <c r="O55" s="19">
        <f>VLOOKUP(4722,收盤價!A:C,3,0)</f>
        <v>30.7</v>
      </c>
      <c r="P55" s="19">
        <f>VLOOKUP(4722,PSR!A:J,10,0)</f>
        <v>7.5549308850835573</v>
      </c>
      <c r="Q55" s="19">
        <f>VLOOKUP(4722,PSR!A:J,9,0)</f>
        <v>0.59169231736230277</v>
      </c>
      <c r="R55" s="19">
        <f>VLOOKUP(4722,葛林公式!A:N,12,0)</f>
        <v>221</v>
      </c>
      <c r="S55" s="196">
        <v>6</v>
      </c>
      <c r="T55" s="32"/>
    </row>
    <row r="56" spans="1:20">
      <c r="A56" s="449" t="str">
        <f>HYPERLINK("http://www.wantgoo.com/stock/chart.aspx?stockno=5234","5234")</f>
        <v>5234</v>
      </c>
      <c r="C56" s="18">
        <f>VLOOKUP(5234,季財報!A:H,3)</f>
        <v>0</v>
      </c>
      <c r="D56" s="18">
        <f>VLOOKUP(5234,季財報!A:H,4)</f>
        <v>1</v>
      </c>
      <c r="E56" s="18">
        <f>VLOOKUP(5234,季財報!A:H,5)</f>
        <v>1</v>
      </c>
      <c r="F56" s="18">
        <f>VLOOKUP(5234,季財報!A:H,6)</f>
        <v>0</v>
      </c>
      <c r="G56" s="18">
        <f>VLOOKUP(5234,季財報!A:H,7)</f>
        <v>0</v>
      </c>
      <c r="H56" s="20">
        <v>0</v>
      </c>
      <c r="I56" s="20">
        <v>0</v>
      </c>
      <c r="J56" s="20">
        <v>0</v>
      </c>
      <c r="K56" s="20">
        <v>1</v>
      </c>
      <c r="L56" s="20">
        <v>0</v>
      </c>
      <c r="M56" s="58">
        <v>0</v>
      </c>
      <c r="N56" s="20">
        <f>SUM(C56:M56)</f>
        <v>3</v>
      </c>
      <c r="O56" s="19">
        <f>VLOOKUP(5234,收盤價!A:C,3,0)</f>
        <v>30.15</v>
      </c>
      <c r="P56" s="19">
        <f>VLOOKUP(5234,PSR!A:J,10,0)</f>
        <v>10.868963782696177</v>
      </c>
      <c r="Q56" s="19">
        <f>VLOOKUP(5234,PSR!A:J,9,0)</f>
        <v>0.82340638092896967</v>
      </c>
      <c r="R56" s="19">
        <f>VLOOKUP(5234,葛林公式!A:N,12,0)</f>
        <v>290</v>
      </c>
      <c r="S56" s="196">
        <v>6</v>
      </c>
      <c r="T56" s="32"/>
    </row>
    <row r="57" spans="1:20">
      <c r="A57" s="448" t="str">
        <f>HYPERLINK("http://www.wantgoo.com/stock/chart.aspx?stockno=6292","6292")</f>
        <v>6292</v>
      </c>
      <c r="C57" s="18">
        <f>VLOOKUP(6292,季財報!A:H,3)</f>
        <v>0</v>
      </c>
      <c r="D57" s="18">
        <f>VLOOKUP(6292,季財報!A:H,4)</f>
        <v>0</v>
      </c>
      <c r="E57" s="18">
        <f>VLOOKUP(6292,季財報!A:H,5)</f>
        <v>1</v>
      </c>
      <c r="F57" s="18">
        <f>VLOOKUP(6292,季財報!A:H,6)</f>
        <v>1</v>
      </c>
      <c r="G57" s="18">
        <f>VLOOKUP(6292,季財報!A:H,7)</f>
        <v>0</v>
      </c>
      <c r="H57" s="20">
        <v>0</v>
      </c>
      <c r="I57" s="20">
        <v>0</v>
      </c>
      <c r="J57" s="20">
        <v>0</v>
      </c>
      <c r="K57" s="20">
        <v>1</v>
      </c>
      <c r="L57" s="20">
        <v>0</v>
      </c>
      <c r="M57" s="58">
        <v>0</v>
      </c>
      <c r="N57" s="20">
        <f>SUM(C57:M57)</f>
        <v>3</v>
      </c>
      <c r="O57" s="19">
        <f>VLOOKUP(6292,收盤價!A:C,3,0)</f>
        <v>27.9</v>
      </c>
      <c r="P57" s="19">
        <f>VLOOKUP(6292,PSR!A:J,10,0)</f>
        <v>16.193181818181817</v>
      </c>
      <c r="Q57" s="19">
        <f>VLOOKUP(6292,PSR!A:J,9,0)</f>
        <v>0.98177117490959664</v>
      </c>
      <c r="R57" s="19">
        <f>VLOOKUP(6292,葛林公式!A:N,12,0)</f>
        <v>221</v>
      </c>
      <c r="S57" s="196">
        <v>5</v>
      </c>
    </row>
    <row r="58" spans="1:20">
      <c r="A58" s="449" t="str">
        <f>HYPERLINK("http://www.wantgoo.com/stock/chart.aspx?stockno=6216","6216")</f>
        <v>6216</v>
      </c>
      <c r="C58" s="18">
        <f>VLOOKUP(6216,季財報!A:H,3)</f>
        <v>0</v>
      </c>
      <c r="D58" s="18">
        <f>VLOOKUP(6216,季財報!A:H,4)</f>
        <v>1</v>
      </c>
      <c r="E58" s="18">
        <f>VLOOKUP(6216,季財報!A:H,5)</f>
        <v>0</v>
      </c>
      <c r="F58" s="18">
        <f>VLOOKUP(6216,季財報!A:H,6)</f>
        <v>1</v>
      </c>
      <c r="G58" s="18">
        <f>VLOOKUP(6216,季財報!A:H,7)</f>
        <v>0</v>
      </c>
      <c r="H58" s="20">
        <v>0</v>
      </c>
      <c r="I58" s="20">
        <v>0</v>
      </c>
      <c r="J58" s="20">
        <v>0</v>
      </c>
      <c r="K58" s="20">
        <v>1</v>
      </c>
      <c r="L58" s="20">
        <v>0</v>
      </c>
      <c r="M58" s="58">
        <v>0</v>
      </c>
      <c r="N58" s="20">
        <f>SUM(C58:M58)</f>
        <v>3</v>
      </c>
      <c r="O58" s="19">
        <f>VLOOKUP(6216,收盤價!A:C,3,0)</f>
        <v>26.85</v>
      </c>
      <c r="P58" s="19">
        <f>VLOOKUP(6216,PSR!A:J,10,0)</f>
        <v>9.1862007961079186</v>
      </c>
      <c r="Q58" s="19">
        <f>VLOOKUP(6216,PSR!A:J,9,0)</f>
        <v>1.8563633260223584</v>
      </c>
      <c r="R58" s="19">
        <f>VLOOKUP(6216,葛林公式!A:N,12,0)</f>
        <v>290</v>
      </c>
      <c r="S58" s="196">
        <v>5</v>
      </c>
    </row>
    <row r="59" spans="1:20">
      <c r="A59" s="448" t="str">
        <f>HYPERLINK("http://www.wantgoo.com/stock/chart.aspx?stockno=6205","6205")</f>
        <v>6205</v>
      </c>
      <c r="C59" s="18">
        <f>VLOOKUP(6205,季財報!A:H,3)</f>
        <v>0</v>
      </c>
      <c r="D59" s="18">
        <f>VLOOKUP(6205,季財報!A:H,4)</f>
        <v>1</v>
      </c>
      <c r="E59" s="18">
        <f>VLOOKUP(6205,季財報!A:H,5)</f>
        <v>0</v>
      </c>
      <c r="F59" s="18">
        <f>VLOOKUP(6205,季財報!A:H,6)</f>
        <v>1</v>
      </c>
      <c r="G59" s="18">
        <f>VLOOKUP(6205,季財報!A:H,7)</f>
        <v>0</v>
      </c>
      <c r="H59" s="20">
        <v>0</v>
      </c>
      <c r="I59" s="20">
        <v>0</v>
      </c>
      <c r="J59" s="20">
        <v>0</v>
      </c>
      <c r="K59" s="20">
        <v>1</v>
      </c>
      <c r="L59" s="20">
        <v>0</v>
      </c>
      <c r="M59" s="58">
        <v>0</v>
      </c>
      <c r="N59" s="20">
        <f>SUM(C59:M59)</f>
        <v>3</v>
      </c>
      <c r="O59" s="19">
        <f>VLOOKUP(6205,收盤價!A:C,3,0)</f>
        <v>26.6</v>
      </c>
      <c r="P59" s="19">
        <f>VLOOKUP(6205,PSR!A:J,10,0)</f>
        <v>17.538759689922479</v>
      </c>
      <c r="Q59" s="19">
        <f>VLOOKUP(6205,PSR!A:J,9,0)</f>
        <v>0.85793006722885368</v>
      </c>
      <c r="R59" s="19">
        <f>VLOOKUP(6205,葛林公式!A:N,12,0)</f>
        <v>547</v>
      </c>
      <c r="S59" s="196">
        <v>5</v>
      </c>
    </row>
    <row r="60" spans="1:20">
      <c r="A60" s="449" t="str">
        <f>HYPERLINK("http://www.wantgoo.com/stock/chart.aspx?stockno=4958","4958")</f>
        <v>4958</v>
      </c>
      <c r="C60" s="18">
        <f>VLOOKUP(4958,季財報!A:H,3)</f>
        <v>0</v>
      </c>
      <c r="D60" s="18">
        <f>VLOOKUP(4958,季財報!A:H,4)</f>
        <v>1</v>
      </c>
      <c r="E60" s="18">
        <f>VLOOKUP(4958,季財報!A:H,5)</f>
        <v>0</v>
      </c>
      <c r="F60" s="18">
        <f>VLOOKUP(4958,季財報!A:H,6)</f>
        <v>1</v>
      </c>
      <c r="G60" s="18">
        <f>VLOOKUP(4958,季財報!A:H,7)</f>
        <v>0</v>
      </c>
      <c r="H60" s="20">
        <v>0</v>
      </c>
      <c r="I60" s="20">
        <v>1</v>
      </c>
      <c r="J60" s="20">
        <v>0</v>
      </c>
      <c r="K60" s="20">
        <v>0</v>
      </c>
      <c r="L60" s="20">
        <v>0</v>
      </c>
      <c r="M60" s="58">
        <v>0</v>
      </c>
      <c r="N60" s="20">
        <f>SUM(C60:M60)</f>
        <v>3</v>
      </c>
      <c r="O60" s="19">
        <f>VLOOKUP(4958,收盤價!A:C,3,0)</f>
        <v>78</v>
      </c>
      <c r="P60" s="19">
        <f>VLOOKUP(4958,PSR!A:J,10,0)</f>
        <v>8.1502722418813889</v>
      </c>
      <c r="Q60" s="19">
        <f>VLOOKUP(4958,PSR!A:J,9,0)</f>
        <v>0.74358411694478488</v>
      </c>
      <c r="R60" s="19">
        <f>VLOOKUP(4958,葛林公式!A:N,12,0)</f>
        <v>153</v>
      </c>
      <c r="S60" s="196">
        <v>6</v>
      </c>
    </row>
    <row r="61" spans="1:20">
      <c r="A61" s="448" t="str">
        <f>HYPERLINK("http://www.wantgoo.com/stock/chart.aspx?stockno=4999","4999")</f>
        <v>4999</v>
      </c>
      <c r="C61" s="18">
        <f>VLOOKUP(4999,季財報!A:H,3)</f>
        <v>0</v>
      </c>
      <c r="D61" s="18">
        <f>VLOOKUP(4999,季財報!A:H,4)</f>
        <v>1</v>
      </c>
      <c r="E61" s="18">
        <f>VLOOKUP(4999,季財報!A:H,5)</f>
        <v>0</v>
      </c>
      <c r="F61" s="18">
        <f>VLOOKUP(4999,季財報!A:H,6)</f>
        <v>1</v>
      </c>
      <c r="G61" s="18">
        <f>VLOOKUP(4999,季財報!A:H,7)</f>
        <v>0</v>
      </c>
      <c r="H61" s="20">
        <v>1</v>
      </c>
      <c r="I61" s="20">
        <v>0</v>
      </c>
      <c r="J61" s="20">
        <v>0</v>
      </c>
      <c r="K61" s="20">
        <v>0</v>
      </c>
      <c r="L61" s="20">
        <v>0</v>
      </c>
      <c r="M61" s="58">
        <v>0</v>
      </c>
      <c r="N61" s="20">
        <f>SUM(C61:M61)</f>
        <v>3</v>
      </c>
      <c r="O61" s="19">
        <f>VLOOKUP(4999,收盤價!A:C,3,0)</f>
        <v>41.4</v>
      </c>
      <c r="P61" s="19">
        <f>VLOOKUP(4999,PSR!A:J,10,0)</f>
        <v>6.5585827086149697</v>
      </c>
      <c r="Q61" s="19">
        <f>VLOOKUP(4999,PSR!A:J,9,0)</f>
        <v>1.4160507497511094</v>
      </c>
      <c r="R61" s="19">
        <f>VLOOKUP(4999,葛林公式!A:N,12,0)</f>
        <v>244</v>
      </c>
      <c r="S61" s="196">
        <v>5</v>
      </c>
    </row>
    <row r="62" spans="1:20">
      <c r="A62" s="449" t="str">
        <f>HYPERLINK("http://www.wantgoo.com/stock/chart.aspx?stockno=4995","4995")</f>
        <v>4995</v>
      </c>
      <c r="C62" s="18">
        <f>VLOOKUP(4995,季財報!A:H,3)</f>
        <v>0</v>
      </c>
      <c r="D62" s="18">
        <f>VLOOKUP(4995,季財報!A:H,4)</f>
        <v>1</v>
      </c>
      <c r="E62" s="18">
        <f>VLOOKUP(4995,季財報!A:H,5)</f>
        <v>0</v>
      </c>
      <c r="F62" s="18">
        <f>VLOOKUP(4995,季財報!A:H,6)</f>
        <v>1</v>
      </c>
      <c r="G62" s="18">
        <f>VLOOKUP(4995,季財報!A:H,7)</f>
        <v>0</v>
      </c>
      <c r="H62" s="20">
        <v>1</v>
      </c>
      <c r="I62" s="20">
        <v>0</v>
      </c>
      <c r="J62" s="20">
        <v>0</v>
      </c>
      <c r="K62" s="20">
        <v>0</v>
      </c>
      <c r="L62" s="20">
        <v>0</v>
      </c>
      <c r="M62" s="58">
        <v>0</v>
      </c>
      <c r="N62" s="20">
        <f>SUM(C62:M62)</f>
        <v>3</v>
      </c>
      <c r="O62" s="19">
        <f>VLOOKUP(4995,收盤價!A:C,3,0)</f>
        <v>40.450000000000003</v>
      </c>
      <c r="P62" s="19">
        <f>VLOOKUP(4995,PSR!A:J,10,0)</f>
        <v>16.25</v>
      </c>
      <c r="Q62" s="19">
        <f>VLOOKUP(4995,PSR!A:J,9,0)</f>
        <v>1.5978642700341452</v>
      </c>
      <c r="R62" s="19">
        <f>VLOOKUP(4995,葛林公式!A:N,12,0)</f>
        <v>290</v>
      </c>
      <c r="S62" s="196">
        <v>4</v>
      </c>
    </row>
    <row r="63" spans="1:20">
      <c r="A63" s="448" t="str">
        <f>HYPERLINK("http://www.wantgoo.com/stock/chart.aspx?stockno=8049","8049")</f>
        <v>8049</v>
      </c>
      <c r="C63" s="18">
        <f>VLOOKUP(8049,季財報!A:H,3)</f>
        <v>0</v>
      </c>
      <c r="D63" s="18">
        <f>VLOOKUP(8049,季財報!A:H,4)</f>
        <v>0</v>
      </c>
      <c r="E63" s="18">
        <f>VLOOKUP(8049,季財報!A:H,5)</f>
        <v>0</v>
      </c>
      <c r="F63" s="18">
        <f>VLOOKUP(8049,季財報!A:H,6)</f>
        <v>0</v>
      </c>
      <c r="G63" s="18">
        <f>VLOOKUP(8049,季財報!A:H,7)</f>
        <v>0</v>
      </c>
      <c r="H63" s="20">
        <v>1</v>
      </c>
      <c r="I63" s="20">
        <v>0</v>
      </c>
      <c r="J63" s="20">
        <v>0</v>
      </c>
      <c r="K63" s="20">
        <v>0</v>
      </c>
      <c r="L63" s="20">
        <v>0</v>
      </c>
      <c r="M63" s="58">
        <v>1</v>
      </c>
      <c r="N63" s="20">
        <f>SUM(C63:M63)</f>
        <v>2</v>
      </c>
      <c r="O63" s="19">
        <f>VLOOKUP(8049,收盤價!A:C,3,0)</f>
        <v>10.25</v>
      </c>
      <c r="P63" s="19">
        <f>VLOOKUP(8049,PSR!A:J,10,0)</f>
        <v>7.2159455128205119</v>
      </c>
      <c r="Q63" s="19">
        <f>VLOOKUP(8049,PSR!A:J,9,0)</f>
        <v>0.94939901421035944</v>
      </c>
      <c r="R63" s="19">
        <f>VLOOKUP(8049,葛林公式!A:N,12,0)</f>
        <v>244</v>
      </c>
      <c r="S63" s="196">
        <v>5</v>
      </c>
    </row>
    <row r="64" spans="1:20">
      <c r="A64" s="449" t="str">
        <f>HYPERLINK("http://www.wantgoo.com/stock/chart.aspx?stockno=8109","8109")</f>
        <v>8109</v>
      </c>
      <c r="C64" s="18">
        <f>VLOOKUP(8109,季財報!A:H,3)</f>
        <v>0</v>
      </c>
      <c r="D64" s="18">
        <f>VLOOKUP(8109,季財報!A:H,4)</f>
        <v>0</v>
      </c>
      <c r="E64" s="18">
        <f>VLOOKUP(8109,季財報!A:H,5)</f>
        <v>0</v>
      </c>
      <c r="F64" s="18">
        <f>VLOOKUP(8109,季財報!A:H,6)</f>
        <v>0</v>
      </c>
      <c r="G64" s="18">
        <f>VLOOKUP(8109,季財報!A:H,7)</f>
        <v>0</v>
      </c>
      <c r="H64" s="20">
        <v>0</v>
      </c>
      <c r="I64" s="20">
        <v>1</v>
      </c>
      <c r="J64" s="20">
        <v>0</v>
      </c>
      <c r="K64" s="20">
        <v>1</v>
      </c>
      <c r="L64" s="20">
        <v>0</v>
      </c>
      <c r="M64" s="58">
        <v>0</v>
      </c>
      <c r="N64" s="20">
        <f>SUM(C64:M64)</f>
        <v>2</v>
      </c>
      <c r="O64" s="19">
        <f>VLOOKUP(8109,收盤價!A:C,3,0)</f>
        <v>58.8</v>
      </c>
      <c r="P64" s="19">
        <f>VLOOKUP(8109,PSR!A:J,10,0)</f>
        <v>10.708523096942095</v>
      </c>
      <c r="Q64" s="19">
        <f>VLOOKUP(8109,PSR!A:J,9,0)</f>
        <v>3.9630978250656841</v>
      </c>
      <c r="R64" s="19">
        <f>VLOOKUP(8109,葛林公式!A:N,12,0)</f>
        <v>181</v>
      </c>
      <c r="S64" s="196">
        <v>4</v>
      </c>
    </row>
    <row r="65" spans="1:19">
      <c r="A65" s="449" t="str">
        <f>HYPERLINK("http://www.wantgoo.com/stock/chart.aspx?stockno=8424","8424")</f>
        <v>8424</v>
      </c>
      <c r="C65" s="18">
        <f>VLOOKUP(8424,季財報!A:H,3)</f>
        <v>0</v>
      </c>
      <c r="D65" s="18">
        <f>VLOOKUP(8424,季財報!A:H,4)</f>
        <v>0</v>
      </c>
      <c r="E65" s="18">
        <f>VLOOKUP(8424,季財報!A:H,5)</f>
        <v>0</v>
      </c>
      <c r="F65" s="18">
        <f>VLOOKUP(8424,季財報!A:H,6)</f>
        <v>0</v>
      </c>
      <c r="G65" s="18">
        <f>VLOOKUP(8424,季財報!A:H,7)</f>
        <v>0</v>
      </c>
      <c r="H65" s="20">
        <v>1</v>
      </c>
      <c r="I65" s="20">
        <v>0</v>
      </c>
      <c r="J65" s="20">
        <v>0</v>
      </c>
      <c r="K65" s="20">
        <v>1</v>
      </c>
      <c r="L65" s="20">
        <v>0</v>
      </c>
      <c r="M65" s="58">
        <v>0</v>
      </c>
      <c r="N65" s="20">
        <f>SUM(C65:M65)</f>
        <v>2</v>
      </c>
      <c r="O65" s="19">
        <f>VLOOKUP(8424,收盤價!A:C,3,0)</f>
        <v>38.700000000000003</v>
      </c>
      <c r="P65" s="19">
        <f>VLOOKUP(8424,PSR!A:J,10,0)</f>
        <v>11.63054435483871</v>
      </c>
      <c r="Q65" s="19">
        <f>VLOOKUP(8424,PSR!A:J,9,0)</f>
        <v>1.6772457251245658</v>
      </c>
      <c r="R65" s="19">
        <f>VLOOKUP(8424,葛林公式!A:N,12,0)</f>
        <v>221</v>
      </c>
      <c r="S65" s="196">
        <v>4</v>
      </c>
    </row>
    <row r="66" spans="1:19">
      <c r="A66" s="448" t="str">
        <f>HYPERLINK("http://www.wantgoo.com/stock/chart.aspx?stockno=4987","4987")</f>
        <v>4987</v>
      </c>
      <c r="C66" s="18">
        <f>VLOOKUP(4987,季財報!A:H,3)</f>
        <v>1</v>
      </c>
      <c r="D66" s="18">
        <f>VLOOKUP(4987,季財報!A:H,4)</f>
        <v>1</v>
      </c>
      <c r="E66" s="18">
        <f>VLOOKUP(4987,季財報!A:H,5)</f>
        <v>0</v>
      </c>
      <c r="F66" s="18">
        <f>VLOOKUP(4987,季財報!A:H,6)</f>
        <v>0</v>
      </c>
      <c r="G66" s="18">
        <f>VLOOKUP(4987,季財報!A:H,7)</f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58">
        <v>0</v>
      </c>
      <c r="N66" s="20">
        <f>SUM(C66:M66)</f>
        <v>2</v>
      </c>
      <c r="O66" s="19">
        <f>VLOOKUP(4987,收盤價!A:C,3,0)</f>
        <v>70</v>
      </c>
      <c r="P66" s="19">
        <f>VLOOKUP(4987,PSR!A:J,10,0)</f>
        <v>7.6489466754443711</v>
      </c>
      <c r="Q66" s="19">
        <f>VLOOKUP(4987,PSR!A:J,9,0)</f>
        <v>1.5637277486802059</v>
      </c>
      <c r="R66" s="19">
        <f>VLOOKUP(4987,葛林公式!A:N,12,0)</f>
        <v>76</v>
      </c>
      <c r="S66" s="196">
        <v>3</v>
      </c>
    </row>
    <row r="67" spans="1:19">
      <c r="A67" s="448" t="str">
        <f>HYPERLINK("http://www.wantgoo.com/stock/chart.aspx?stockno=4417","4417")</f>
        <v>4417</v>
      </c>
      <c r="C67" s="18">
        <f>VLOOKUP(4417,季財報!A:H,3)</f>
        <v>0</v>
      </c>
      <c r="D67" s="18">
        <f>VLOOKUP(4417,季財報!A:H,4)</f>
        <v>0</v>
      </c>
      <c r="E67" s="18">
        <f>VLOOKUP(4417,季財報!A:H,5)</f>
        <v>2</v>
      </c>
      <c r="F67" s="18">
        <f>VLOOKUP(4417,季財報!A:H,6)</f>
        <v>0</v>
      </c>
      <c r="G67" s="18">
        <f>VLOOKUP(4417,季財報!A:H,7)</f>
        <v>0</v>
      </c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58">
        <v>0</v>
      </c>
      <c r="N67" s="20">
        <f>SUM(C67:M67)</f>
        <v>2</v>
      </c>
      <c r="O67" s="19">
        <f>VLOOKUP(4417,收盤價!A:C,3,0)</f>
        <v>34.75</v>
      </c>
      <c r="P67" s="19">
        <f>VLOOKUP(4417,PSR!A:J,10,0)</f>
        <v>9.5753727022723982</v>
      </c>
      <c r="Q67" s="19">
        <f>VLOOKUP(4417,PSR!A:J,9,0)</f>
        <v>0.98676652149100774</v>
      </c>
      <c r="R67" s="19">
        <f>VLOOKUP(4417,葛林公式!A:N,12,0)</f>
        <v>244</v>
      </c>
      <c r="S67" s="196">
        <v>5</v>
      </c>
    </row>
    <row r="68" spans="1:19">
      <c r="A68" s="448" t="str">
        <f>HYPERLINK("http://www.wantgoo.com/stock/chart.aspx?stockno=8942","8942")</f>
        <v>8942</v>
      </c>
      <c r="C68" s="18">
        <f>VLOOKUP(8942,季財報!A:H,3)</f>
        <v>0</v>
      </c>
      <c r="D68" s="18">
        <f>VLOOKUP(8942,季財報!A:H,4)</f>
        <v>0</v>
      </c>
      <c r="E68" s="18">
        <f>VLOOKUP(8942,季財報!A:H,5)</f>
        <v>0</v>
      </c>
      <c r="F68" s="18">
        <f>VLOOKUP(8942,季財報!A:H,6)</f>
        <v>0</v>
      </c>
      <c r="G68" s="18">
        <f>VLOOKUP(8942,季財報!A:H,7)</f>
        <v>0</v>
      </c>
      <c r="H68" s="20">
        <v>0</v>
      </c>
      <c r="I68" s="20">
        <v>0</v>
      </c>
      <c r="J68" s="20">
        <v>0</v>
      </c>
      <c r="K68" s="20">
        <v>1</v>
      </c>
      <c r="L68" s="20">
        <v>0</v>
      </c>
      <c r="M68" s="58">
        <v>0</v>
      </c>
      <c r="N68" s="20">
        <f>SUM(C68:M68)</f>
        <v>1</v>
      </c>
      <c r="O68" s="19">
        <f>VLOOKUP(8942,收盤價!A:C,3,0)</f>
        <v>86.6</v>
      </c>
      <c r="P68" s="19">
        <f>VLOOKUP(8942,PSR!A:J,10,0)</f>
        <v>12.77838408730857</v>
      </c>
      <c r="Q68" s="19">
        <f>VLOOKUP(8942,PSR!A:J,9,0)</f>
        <v>2.832466095863214</v>
      </c>
      <c r="R68" s="19">
        <f>VLOOKUP(8942,葛林公式!A:N,12,0)</f>
        <v>366</v>
      </c>
      <c r="S68" s="196">
        <v>3</v>
      </c>
    </row>
    <row r="69" spans="1:19">
      <c r="A69" s="448" t="str">
        <f>HYPERLINK("http://www.wantgoo.com/stock/chart.aspx?stockno=8429","8429")</f>
        <v>8429</v>
      </c>
      <c r="C69" s="18">
        <f>VLOOKUP(8429,季財報!A:H,3)</f>
        <v>0</v>
      </c>
      <c r="D69" s="18">
        <f>VLOOKUP(8429,季財報!A:H,4)</f>
        <v>0</v>
      </c>
      <c r="E69" s="18">
        <f>VLOOKUP(8429,季財報!A:H,5)</f>
        <v>0</v>
      </c>
      <c r="F69" s="18">
        <f>VLOOKUP(8429,季財報!A:H,6)</f>
        <v>0</v>
      </c>
      <c r="G69" s="18">
        <f>VLOOKUP(8429,季財報!A:H,7)</f>
        <v>0</v>
      </c>
      <c r="H69" s="20">
        <v>0</v>
      </c>
      <c r="I69" s="20">
        <v>0</v>
      </c>
      <c r="J69" s="20">
        <v>0</v>
      </c>
      <c r="K69" s="20">
        <v>1</v>
      </c>
      <c r="L69" s="20">
        <v>0</v>
      </c>
      <c r="M69" s="58">
        <v>0</v>
      </c>
      <c r="N69" s="20">
        <f>SUM(C69:M69)</f>
        <v>1</v>
      </c>
      <c r="O69" s="19">
        <f>VLOOKUP(8429,收盤價!A:C,3,0)</f>
        <v>58</v>
      </c>
      <c r="P69" s="19">
        <f>VLOOKUP(8429,PSR!A:J,10,0)</f>
        <v>8.286516853932584</v>
      </c>
      <c r="Q69" s="19">
        <f>VLOOKUP(8429,PSR!A:J,9,0)</f>
        <v>1.3267799801560645</v>
      </c>
      <c r="R69" s="19">
        <f>VLOOKUP(8429,葛林公式!A:N,12,0)</f>
        <v>153</v>
      </c>
      <c r="S69" s="196">
        <v>3</v>
      </c>
    </row>
    <row r="70" spans="1:19">
      <c r="A70" s="449" t="str">
        <f>HYPERLINK("http://www.wantgoo.com/stock/chart.aspx?stockno=8420","8420")</f>
        <v>8420</v>
      </c>
      <c r="C70" s="18">
        <f>VLOOKUP(8420,季財報!A:H,3)</f>
        <v>0</v>
      </c>
      <c r="D70" s="18">
        <f>VLOOKUP(8420,季財報!A:H,4)</f>
        <v>0</v>
      </c>
      <c r="E70" s="18">
        <f>VLOOKUP(8420,季財報!A:H,5)</f>
        <v>0</v>
      </c>
      <c r="F70" s="18">
        <f>VLOOKUP(8420,季財報!A:H,6)</f>
        <v>0</v>
      </c>
      <c r="G70" s="18">
        <f>VLOOKUP(8420,季財報!A:H,7)</f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58">
        <v>0</v>
      </c>
      <c r="N70" s="20">
        <f>SUM(C70:M70)</f>
        <v>0</v>
      </c>
      <c r="O70" s="19">
        <f>VLOOKUP(8420,收盤價!A:C,3,0)</f>
        <v>20.65</v>
      </c>
      <c r="P70" s="19">
        <f>VLOOKUP(8420,PSR!A:J,10,0)</f>
        <v>10.455069124423963</v>
      </c>
      <c r="Q70" s="19">
        <f>VLOOKUP(8420,PSR!A:J,9,0)</f>
        <v>0.87982262775824394</v>
      </c>
      <c r="R70" s="19">
        <f>VLOOKUP(8420,葛林公式!A:N,12,0)</f>
        <v>436</v>
      </c>
      <c r="S70" s="196">
        <v>3</v>
      </c>
    </row>
    <row r="71" spans="1:19">
      <c r="A71" s="449" t="str">
        <f>HYPERLINK("http://www.wantgoo.com/stock/chart.aspx?stockno=8131","8131")</f>
        <v>8131</v>
      </c>
      <c r="C71" s="18">
        <f>VLOOKUP(8131,季財報!A:H,3)</f>
        <v>0</v>
      </c>
      <c r="D71" s="18">
        <f>VLOOKUP(8131,季財報!A:H,4)</f>
        <v>0</v>
      </c>
      <c r="E71" s="18">
        <f>VLOOKUP(8131,季財報!A:H,5)</f>
        <v>0</v>
      </c>
      <c r="F71" s="18">
        <f>VLOOKUP(8131,季財報!A:H,6)</f>
        <v>0</v>
      </c>
      <c r="G71" s="18">
        <f>VLOOKUP(8131,季財報!A:H,7)</f>
        <v>0</v>
      </c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58">
        <v>0</v>
      </c>
      <c r="N71" s="20">
        <f>SUM(C71:M71)</f>
        <v>0</v>
      </c>
      <c r="O71" s="19">
        <f>VLOOKUP(8131,收盤價!A:C,3,0)</f>
        <v>20.5</v>
      </c>
      <c r="P71" s="19">
        <f>VLOOKUP(8131,PSR!A:J,10,0)</f>
        <v>7.8219696969696964</v>
      </c>
      <c r="Q71" s="19">
        <f>VLOOKUP(8131,PSR!A:J,9,0)</f>
        <v>1.0338727086643467</v>
      </c>
      <c r="R71" s="19">
        <f>VLOOKUP(8131,葛林公式!A:N,12,0)</f>
        <v>436</v>
      </c>
      <c r="S71" s="196">
        <v>2</v>
      </c>
    </row>
  </sheetData>
  <sortState ref="A4:S71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D34" sqref="D3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2991</v>
      </c>
      <c r="C1">
        <v>20151211</v>
      </c>
      <c r="D1">
        <v>20151218</v>
      </c>
      <c r="E1">
        <v>20151225</v>
      </c>
      <c r="AB1" s="30"/>
    </row>
    <row r="2" spans="1:28">
      <c r="A2" s="31">
        <v>1101</v>
      </c>
      <c r="B2" s="288" t="s">
        <v>2993</v>
      </c>
      <c r="C2" s="32" t="s">
        <v>2992</v>
      </c>
      <c r="D2" s="32" t="s">
        <v>2460</v>
      </c>
      <c r="E2" s="32" t="s">
        <v>2461</v>
      </c>
      <c r="F2" s="32" t="s">
        <v>2462</v>
      </c>
      <c r="G2" s="32" t="s">
        <v>2463</v>
      </c>
      <c r="H2" s="32" t="s">
        <v>2992</v>
      </c>
      <c r="I2" s="32" t="s">
        <v>2460</v>
      </c>
      <c r="J2" s="32" t="s">
        <v>2461</v>
      </c>
      <c r="K2" s="32" t="s">
        <v>2462</v>
      </c>
      <c r="L2" s="32" t="s">
        <v>2463</v>
      </c>
      <c r="M2" s="32" t="s">
        <v>2992</v>
      </c>
      <c r="N2" s="32" t="s">
        <v>2460</v>
      </c>
      <c r="O2" s="32" t="s">
        <v>2461</v>
      </c>
      <c r="P2" s="32" t="s">
        <v>2462</v>
      </c>
      <c r="Q2" s="32" t="s">
        <v>2463</v>
      </c>
    </row>
    <row r="3" spans="1:28">
      <c r="A3" s="31">
        <v>1103</v>
      </c>
      <c r="B3" s="288" t="s">
        <v>2994</v>
      </c>
      <c r="C3" s="32">
        <v>1</v>
      </c>
      <c r="D3" s="32" t="s">
        <v>2464</v>
      </c>
      <c r="E3" s="153">
        <v>1214</v>
      </c>
      <c r="F3" s="153">
        <v>202973</v>
      </c>
      <c r="G3" s="32">
        <v>0.22</v>
      </c>
      <c r="H3" s="32">
        <v>1</v>
      </c>
      <c r="I3" s="32" t="s">
        <v>2464</v>
      </c>
      <c r="J3" s="153">
        <v>1214</v>
      </c>
      <c r="K3" s="153">
        <v>202734</v>
      </c>
      <c r="L3" s="32">
        <v>0.22</v>
      </c>
      <c r="M3" s="32">
        <v>1</v>
      </c>
      <c r="N3" s="32" t="s">
        <v>2464</v>
      </c>
      <c r="O3" s="153">
        <v>1216</v>
      </c>
      <c r="P3" s="153">
        <v>203746</v>
      </c>
      <c r="Q3" s="32">
        <v>0.22</v>
      </c>
    </row>
    <row r="4" spans="1:28">
      <c r="A4" s="31">
        <v>1104</v>
      </c>
      <c r="B4" s="288" t="s">
        <v>2995</v>
      </c>
      <c r="C4" s="32">
        <v>2</v>
      </c>
      <c r="D4" s="32" t="s">
        <v>2465</v>
      </c>
      <c r="E4" s="153">
        <v>1991</v>
      </c>
      <c r="F4" s="153">
        <v>4600321</v>
      </c>
      <c r="G4" s="32">
        <v>5.09</v>
      </c>
      <c r="H4" s="32">
        <v>2</v>
      </c>
      <c r="I4" s="32" t="s">
        <v>2465</v>
      </c>
      <c r="J4" s="153">
        <v>1991</v>
      </c>
      <c r="K4" s="153">
        <v>4597511</v>
      </c>
      <c r="L4" s="32">
        <v>5.09</v>
      </c>
      <c r="M4" s="32">
        <v>2</v>
      </c>
      <c r="N4" s="32" t="s">
        <v>2465</v>
      </c>
      <c r="O4" s="153">
        <v>1985</v>
      </c>
      <c r="P4" s="153">
        <v>4592249</v>
      </c>
      <c r="Q4" s="32">
        <v>5.09</v>
      </c>
    </row>
    <row r="5" spans="1:28">
      <c r="A5" s="31">
        <v>1108</v>
      </c>
      <c r="B5" s="288" t="s">
        <v>2996</v>
      </c>
      <c r="C5" s="32">
        <v>3</v>
      </c>
      <c r="D5" s="32" t="s">
        <v>2466</v>
      </c>
      <c r="E5" s="32">
        <v>559</v>
      </c>
      <c r="F5" s="153">
        <v>4094800</v>
      </c>
      <c r="G5" s="32">
        <v>4.53</v>
      </c>
      <c r="H5" s="32">
        <v>3</v>
      </c>
      <c r="I5" s="32" t="s">
        <v>2466</v>
      </c>
      <c r="J5" s="32">
        <v>557</v>
      </c>
      <c r="K5" s="153">
        <v>4080682</v>
      </c>
      <c r="L5" s="32">
        <v>4.5199999999999996</v>
      </c>
      <c r="M5" s="32">
        <v>3</v>
      </c>
      <c r="N5" s="32" t="s">
        <v>2466</v>
      </c>
      <c r="O5" s="32">
        <v>559</v>
      </c>
      <c r="P5" s="153">
        <v>4098532</v>
      </c>
      <c r="Q5" s="32">
        <v>4.54</v>
      </c>
    </row>
    <row r="6" spans="1:28">
      <c r="A6" s="31">
        <v>1109</v>
      </c>
      <c r="B6" s="288" t="s">
        <v>2997</v>
      </c>
      <c r="C6" s="32">
        <v>4</v>
      </c>
      <c r="D6" s="32" t="s">
        <v>2467</v>
      </c>
      <c r="E6" s="32">
        <v>267</v>
      </c>
      <c r="F6" s="153">
        <v>3275459</v>
      </c>
      <c r="G6" s="32">
        <v>3.63</v>
      </c>
      <c r="H6" s="32">
        <v>4</v>
      </c>
      <c r="I6" s="32" t="s">
        <v>2467</v>
      </c>
      <c r="J6" s="32">
        <v>267</v>
      </c>
      <c r="K6" s="153">
        <v>3274459</v>
      </c>
      <c r="L6" s="32">
        <v>3.62</v>
      </c>
      <c r="M6" s="32">
        <v>4</v>
      </c>
      <c r="N6" s="32" t="s">
        <v>2467</v>
      </c>
      <c r="O6" s="32">
        <v>265</v>
      </c>
      <c r="P6" s="153">
        <v>3241859</v>
      </c>
      <c r="Q6" s="32">
        <v>3.59</v>
      </c>
    </row>
    <row r="7" spans="1:28">
      <c r="A7" s="31">
        <v>1110</v>
      </c>
      <c r="B7" s="288" t="s">
        <v>2998</v>
      </c>
      <c r="C7" s="32">
        <v>5</v>
      </c>
      <c r="D7" s="32" t="s">
        <v>2468</v>
      </c>
      <c r="E7" s="32">
        <v>119</v>
      </c>
      <c r="F7" s="153">
        <v>2149887</v>
      </c>
      <c r="G7" s="32">
        <v>2.38</v>
      </c>
      <c r="H7" s="32">
        <v>5</v>
      </c>
      <c r="I7" s="32" t="s">
        <v>2468</v>
      </c>
      <c r="J7" s="32">
        <v>119</v>
      </c>
      <c r="K7" s="153">
        <v>2150887</v>
      </c>
      <c r="L7" s="32">
        <v>2.38</v>
      </c>
      <c r="M7" s="32">
        <v>5</v>
      </c>
      <c r="N7" s="32" t="s">
        <v>2468</v>
      </c>
      <c r="O7" s="32">
        <v>120</v>
      </c>
      <c r="P7" s="153">
        <v>2167887</v>
      </c>
      <c r="Q7" s="32">
        <v>2.4</v>
      </c>
    </row>
    <row r="8" spans="1:28">
      <c r="A8" s="31">
        <v>1201</v>
      </c>
      <c r="B8" s="288" t="s">
        <v>2999</v>
      </c>
      <c r="C8" s="32">
        <v>6</v>
      </c>
      <c r="D8" s="32" t="s">
        <v>2469</v>
      </c>
      <c r="E8" s="32">
        <v>136</v>
      </c>
      <c r="F8" s="153">
        <v>3332811</v>
      </c>
      <c r="G8" s="32">
        <v>3.69</v>
      </c>
      <c r="H8" s="32">
        <v>6</v>
      </c>
      <c r="I8" s="32" t="s">
        <v>2469</v>
      </c>
      <c r="J8" s="32">
        <v>135</v>
      </c>
      <c r="K8" s="153">
        <v>3308978</v>
      </c>
      <c r="L8" s="32">
        <v>3.66</v>
      </c>
      <c r="M8" s="32">
        <v>6</v>
      </c>
      <c r="N8" s="32" t="s">
        <v>2469</v>
      </c>
      <c r="O8" s="32">
        <v>134</v>
      </c>
      <c r="P8" s="153">
        <v>3281978</v>
      </c>
      <c r="Q8" s="32">
        <v>3.63</v>
      </c>
    </row>
    <row r="9" spans="1:28">
      <c r="A9" s="31">
        <v>1203</v>
      </c>
      <c r="B9" s="288" t="s">
        <v>3000</v>
      </c>
      <c r="C9" s="32">
        <v>7</v>
      </c>
      <c r="D9" s="32" t="s">
        <v>2470</v>
      </c>
      <c r="E9" s="32">
        <v>58</v>
      </c>
      <c r="F9" s="153">
        <v>2054232</v>
      </c>
      <c r="G9" s="32">
        <v>2.27</v>
      </c>
      <c r="H9" s="32">
        <v>7</v>
      </c>
      <c r="I9" s="32" t="s">
        <v>2470</v>
      </c>
      <c r="J9" s="32">
        <v>58</v>
      </c>
      <c r="K9" s="153">
        <v>2054232</v>
      </c>
      <c r="L9" s="32">
        <v>2.27</v>
      </c>
      <c r="M9" s="32">
        <v>7</v>
      </c>
      <c r="N9" s="32" t="s">
        <v>2470</v>
      </c>
      <c r="O9" s="32">
        <v>58</v>
      </c>
      <c r="P9" s="153">
        <v>2054232</v>
      </c>
      <c r="Q9" s="32">
        <v>2.27</v>
      </c>
    </row>
    <row r="10" spans="1:28">
      <c r="A10" s="31">
        <v>1213</v>
      </c>
      <c r="B10" s="288" t="s">
        <v>3001</v>
      </c>
      <c r="C10" s="32">
        <v>8</v>
      </c>
      <c r="D10" s="32" t="s">
        <v>2471</v>
      </c>
      <c r="E10" s="32">
        <v>39</v>
      </c>
      <c r="F10" s="153">
        <v>1815566</v>
      </c>
      <c r="G10" s="32">
        <v>2.0099999999999998</v>
      </c>
      <c r="H10" s="32">
        <v>8</v>
      </c>
      <c r="I10" s="32" t="s">
        <v>2471</v>
      </c>
      <c r="J10" s="32">
        <v>39</v>
      </c>
      <c r="K10" s="153">
        <v>1815566</v>
      </c>
      <c r="L10" s="32">
        <v>2.0099999999999998</v>
      </c>
      <c r="M10" s="32">
        <v>8</v>
      </c>
      <c r="N10" s="32" t="s">
        <v>2471</v>
      </c>
      <c r="O10" s="32">
        <v>39</v>
      </c>
      <c r="P10" s="153">
        <v>1815566</v>
      </c>
      <c r="Q10" s="32">
        <v>2.0099999999999998</v>
      </c>
    </row>
    <row r="11" spans="1:28">
      <c r="A11" s="31">
        <v>1215</v>
      </c>
      <c r="B11" s="288" t="s">
        <v>3002</v>
      </c>
      <c r="C11" s="32">
        <v>9</v>
      </c>
      <c r="D11" s="32" t="s">
        <v>2472</v>
      </c>
      <c r="E11" s="32">
        <v>82</v>
      </c>
      <c r="F11" s="153">
        <v>5663611</v>
      </c>
      <c r="G11" s="32">
        <v>6.27</v>
      </c>
      <c r="H11" s="32">
        <v>9</v>
      </c>
      <c r="I11" s="32" t="s">
        <v>2472</v>
      </c>
      <c r="J11" s="32">
        <v>82</v>
      </c>
      <c r="K11" s="153">
        <v>5656611</v>
      </c>
      <c r="L11" s="32">
        <v>6.26</v>
      </c>
      <c r="M11" s="32">
        <v>9</v>
      </c>
      <c r="N11" s="32" t="s">
        <v>2472</v>
      </c>
      <c r="O11" s="32">
        <v>82</v>
      </c>
      <c r="P11" s="153">
        <v>5660611</v>
      </c>
      <c r="Q11" s="32">
        <v>6.27</v>
      </c>
    </row>
    <row r="12" spans="1:28">
      <c r="A12" s="31">
        <v>1216</v>
      </c>
      <c r="B12" s="288" t="s">
        <v>3003</v>
      </c>
      <c r="C12" s="32">
        <v>10</v>
      </c>
      <c r="D12" s="32" t="s">
        <v>2473</v>
      </c>
      <c r="E12" s="32">
        <v>35</v>
      </c>
      <c r="F12" s="153">
        <v>4856703</v>
      </c>
      <c r="G12" s="32">
        <v>5.38</v>
      </c>
      <c r="H12" s="32">
        <v>10</v>
      </c>
      <c r="I12" s="32" t="s">
        <v>2473</v>
      </c>
      <c r="J12" s="32">
        <v>35</v>
      </c>
      <c r="K12" s="153">
        <v>4854703</v>
      </c>
      <c r="L12" s="32">
        <v>5.38</v>
      </c>
      <c r="M12" s="32">
        <v>10</v>
      </c>
      <c r="N12" s="32" t="s">
        <v>2473</v>
      </c>
      <c r="O12" s="32">
        <v>35</v>
      </c>
      <c r="P12" s="153">
        <v>4862703</v>
      </c>
      <c r="Q12" s="32">
        <v>5.38</v>
      </c>
    </row>
    <row r="13" spans="1:28">
      <c r="A13" s="31">
        <v>1217</v>
      </c>
      <c r="B13" s="288" t="s">
        <v>3004</v>
      </c>
      <c r="C13" s="32">
        <v>11</v>
      </c>
      <c r="D13" s="32" t="s">
        <v>2474</v>
      </c>
      <c r="E13" s="32">
        <v>20</v>
      </c>
      <c r="F13" s="153">
        <v>5667248</v>
      </c>
      <c r="G13" s="32">
        <v>6.28</v>
      </c>
      <c r="H13" s="32">
        <v>11</v>
      </c>
      <c r="I13" s="32" t="s">
        <v>2474</v>
      </c>
      <c r="J13" s="32">
        <v>20</v>
      </c>
      <c r="K13" s="153">
        <v>5716248</v>
      </c>
      <c r="L13" s="32">
        <v>6.33</v>
      </c>
      <c r="M13" s="32">
        <v>11</v>
      </c>
      <c r="N13" s="32" t="s">
        <v>2474</v>
      </c>
      <c r="O13" s="32">
        <v>20</v>
      </c>
      <c r="P13" s="153">
        <v>5726248</v>
      </c>
      <c r="Q13" s="32">
        <v>6.34</v>
      </c>
    </row>
    <row r="14" spans="1:28">
      <c r="A14" s="31">
        <v>1218</v>
      </c>
      <c r="B14" s="288" t="s">
        <v>3005</v>
      </c>
      <c r="C14" s="32">
        <v>12</v>
      </c>
      <c r="D14" s="32" t="s">
        <v>2475</v>
      </c>
      <c r="E14" s="32">
        <v>17</v>
      </c>
      <c r="F14" s="153">
        <v>8380419</v>
      </c>
      <c r="G14" s="32">
        <v>9.2799999999999994</v>
      </c>
      <c r="H14" s="32">
        <v>12</v>
      </c>
      <c r="I14" s="32" t="s">
        <v>2475</v>
      </c>
      <c r="J14" s="32">
        <v>17</v>
      </c>
      <c r="K14" s="153">
        <v>8380419</v>
      </c>
      <c r="L14" s="32">
        <v>9.2799999999999994</v>
      </c>
      <c r="M14" s="32">
        <v>12</v>
      </c>
      <c r="N14" s="32" t="s">
        <v>2475</v>
      </c>
      <c r="O14" s="32">
        <v>17</v>
      </c>
      <c r="P14" s="153">
        <v>8381419</v>
      </c>
      <c r="Q14" s="32">
        <v>9.2799999999999994</v>
      </c>
    </row>
    <row r="15" spans="1:28">
      <c r="A15" s="31">
        <v>1219</v>
      </c>
      <c r="B15" s="288" t="s">
        <v>3006</v>
      </c>
      <c r="C15" s="32">
        <v>13</v>
      </c>
      <c r="D15" s="32" t="s">
        <v>2476</v>
      </c>
      <c r="E15" s="32">
        <v>3</v>
      </c>
      <c r="F15" s="153">
        <v>2043808</v>
      </c>
      <c r="G15" s="32">
        <v>2.2599999999999998</v>
      </c>
      <c r="H15" s="32">
        <v>13</v>
      </c>
      <c r="I15" s="32" t="s">
        <v>2476</v>
      </c>
      <c r="J15" s="32">
        <v>3</v>
      </c>
      <c r="K15" s="153">
        <v>2043808</v>
      </c>
      <c r="L15" s="32">
        <v>2.2599999999999998</v>
      </c>
      <c r="M15" s="32">
        <v>13</v>
      </c>
      <c r="N15" s="32" t="s">
        <v>2476</v>
      </c>
      <c r="O15" s="32">
        <v>3</v>
      </c>
      <c r="P15" s="153">
        <v>2043808</v>
      </c>
      <c r="Q15" s="32">
        <v>2.2599999999999998</v>
      </c>
    </row>
    <row r="16" spans="1:28">
      <c r="A16" s="31">
        <v>1220</v>
      </c>
      <c r="B16" s="288" t="s">
        <v>3007</v>
      </c>
      <c r="C16" s="32">
        <v>14</v>
      </c>
      <c r="D16" s="32" t="s">
        <v>2477</v>
      </c>
      <c r="E16" s="32">
        <v>4</v>
      </c>
      <c r="F16" s="153">
        <v>3574983</v>
      </c>
      <c r="G16" s="32">
        <v>3.96</v>
      </c>
      <c r="H16" s="32">
        <v>14</v>
      </c>
      <c r="I16" s="32" t="s">
        <v>2477</v>
      </c>
      <c r="J16" s="32">
        <v>4</v>
      </c>
      <c r="K16" s="153">
        <v>3575983</v>
      </c>
      <c r="L16" s="32">
        <v>3.96</v>
      </c>
      <c r="M16" s="32">
        <v>14</v>
      </c>
      <c r="N16" s="32" t="s">
        <v>2477</v>
      </c>
      <c r="O16" s="32">
        <v>4</v>
      </c>
      <c r="P16" s="153">
        <v>3576983</v>
      </c>
      <c r="Q16" s="32">
        <v>3.96</v>
      </c>
    </row>
    <row r="17" spans="1:17">
      <c r="A17" s="31">
        <v>1225</v>
      </c>
      <c r="B17" s="288" t="s">
        <v>3008</v>
      </c>
      <c r="C17" s="32">
        <v>15</v>
      </c>
      <c r="D17" s="32" t="s">
        <v>2478</v>
      </c>
      <c r="E17" s="32">
        <v>13</v>
      </c>
      <c r="F17" s="153">
        <v>38507439</v>
      </c>
      <c r="G17" s="32">
        <v>42.68</v>
      </c>
      <c r="H17" s="32">
        <v>15</v>
      </c>
      <c r="I17" s="32" t="s">
        <v>2478</v>
      </c>
      <c r="J17" s="32">
        <v>13</v>
      </c>
      <c r="K17" s="153">
        <v>38507439</v>
      </c>
      <c r="L17" s="32">
        <v>42.68</v>
      </c>
      <c r="M17" s="32">
        <v>15</v>
      </c>
      <c r="N17" s="32" t="s">
        <v>2478</v>
      </c>
      <c r="O17" s="32">
        <v>13</v>
      </c>
      <c r="P17" s="153">
        <v>38512439</v>
      </c>
      <c r="Q17" s="32">
        <v>42.68</v>
      </c>
    </row>
    <row r="18" spans="1:17">
      <c r="A18" s="31">
        <v>1227</v>
      </c>
      <c r="B18" s="288" t="s">
        <v>3009</v>
      </c>
      <c r="C18" s="32"/>
      <c r="D18" s="32" t="s">
        <v>2479</v>
      </c>
      <c r="E18" s="153">
        <v>4557</v>
      </c>
      <c r="F18" s="153">
        <v>90220260</v>
      </c>
      <c r="G18" s="32">
        <v>100</v>
      </c>
      <c r="H18" s="32"/>
      <c r="I18" s="32" t="s">
        <v>2479</v>
      </c>
      <c r="J18" s="153">
        <v>4554</v>
      </c>
      <c r="K18" s="153">
        <v>90220260</v>
      </c>
      <c r="L18" s="32">
        <v>100</v>
      </c>
      <c r="M18" s="32"/>
      <c r="N18" s="32" t="s">
        <v>2479</v>
      </c>
      <c r="O18" s="153">
        <v>4550</v>
      </c>
      <c r="P18" s="153">
        <v>90220260</v>
      </c>
      <c r="Q18" s="32">
        <v>100</v>
      </c>
    </row>
    <row r="19" spans="1:17">
      <c r="A19" s="31">
        <v>1229</v>
      </c>
      <c r="B19" s="288" t="s">
        <v>3010</v>
      </c>
      <c r="C19" s="32"/>
      <c r="D19" s="32" t="s">
        <v>2479</v>
      </c>
      <c r="E19" s="32">
        <v>999</v>
      </c>
      <c r="F19" s="153">
        <v>41637763</v>
      </c>
      <c r="G19" s="32">
        <v>100</v>
      </c>
      <c r="H19" s="32"/>
      <c r="I19" s="32" t="s">
        <v>2479</v>
      </c>
      <c r="J19" s="153">
        <v>4707</v>
      </c>
      <c r="K19" s="153">
        <v>63126986</v>
      </c>
      <c r="L19" s="32">
        <v>100</v>
      </c>
      <c r="M19" s="32"/>
      <c r="N19" s="32" t="s">
        <v>2479</v>
      </c>
      <c r="O19" s="153">
        <v>5618</v>
      </c>
      <c r="P19" s="153">
        <v>106469000</v>
      </c>
      <c r="Q19" s="32">
        <v>100</v>
      </c>
    </row>
    <row r="20" spans="1:17">
      <c r="A20" s="31">
        <v>1231</v>
      </c>
      <c r="B20" s="288" t="s">
        <v>3011</v>
      </c>
    </row>
    <row r="21" spans="1:17">
      <c r="A21" s="31">
        <v>1232</v>
      </c>
      <c r="B21" s="288" t="s">
        <v>3012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  <hyperlink ref="B20" r:id="rId25"/>
    <hyperlink ref="B21" r:id="rId26"/>
  </hyperlinks>
  <pageMargins left="0.7" right="0.7" top="0.75" bottom="0.75" header="0.3" footer="0.3"/>
  <pageSetup paperSize="9" orientation="portrait" r:id="rId27"/>
  <legacyDrawing r:id="rId28"/>
  <controls>
    <control shapeId="4113" r:id="rId29" name="CommandButton17"/>
    <control shapeId="4112" r:id="rId30" name="CommandButton16"/>
    <control shapeId="4111" r:id="rId31" name="CommandButton15"/>
    <control shapeId="4110" r:id="rId32" name="CommandButton14"/>
    <control shapeId="4109" r:id="rId33" name="CommandButton1"/>
    <control shapeId="4108" r:id="rId34" name="CommandButton13"/>
    <control shapeId="4107" r:id="rId35" name="CommandButton12"/>
    <control shapeId="4106" r:id="rId36" name="CommandButton11"/>
    <control shapeId="4105" r:id="rId37" name="CommandButton10"/>
    <control shapeId="4099" r:id="rId38" name="CommandButton4"/>
    <control shapeId="4098" r:id="rId39" name="CommandButton3"/>
    <control shapeId="4097" r:id="rId40" name="CommandButton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V5" sqref="V5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2436</v>
      </c>
      <c r="D1" s="33"/>
      <c r="E1" s="34" t="s">
        <v>2437</v>
      </c>
      <c r="F1" s="33"/>
      <c r="G1" s="34"/>
      <c r="R1" s="442" t="s">
        <v>1866</v>
      </c>
      <c r="S1" s="443"/>
      <c r="T1" s="443"/>
      <c r="U1" s="443"/>
      <c r="V1" s="444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441" t="s">
        <v>203</v>
      </c>
      <c r="C3" s="441"/>
      <c r="D3" s="441"/>
      <c r="E3" s="441"/>
      <c r="F3" s="441"/>
      <c r="G3" s="441"/>
      <c r="H3" s="441"/>
      <c r="I3" s="43"/>
      <c r="J3" s="441" t="s">
        <v>204</v>
      </c>
      <c r="K3" s="441"/>
      <c r="L3" s="441"/>
      <c r="M3" s="441"/>
      <c r="N3" s="441"/>
      <c r="O3" s="441"/>
      <c r="P3" s="441"/>
      <c r="R3" s="447" t="s">
        <v>1871</v>
      </c>
      <c r="S3" s="401"/>
      <c r="T3" s="108" t="s">
        <v>1872</v>
      </c>
      <c r="U3" s="108" t="s">
        <v>1874</v>
      </c>
      <c r="V3" s="108" t="s">
        <v>1873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5388</v>
      </c>
      <c r="S4" s="103" t="str">
        <f>LEFT(C1,2)</f>
        <v>中磊</v>
      </c>
      <c r="T4" s="109">
        <f>ROUND(PK!L11,2)</f>
        <v>6.25</v>
      </c>
      <c r="U4" s="110">
        <f>VLOOKUP(R4,收盤價!A:C,3,0)</f>
        <v>85.2</v>
      </c>
      <c r="V4" s="111">
        <f>ROUND(U4/T4,2)</f>
        <v>13.63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6285</v>
      </c>
      <c r="S5" s="105" t="str">
        <f>LEFT(E1,2)</f>
        <v>啟碁</v>
      </c>
      <c r="T5" s="109">
        <f>ROUND(PK!L12,2)</f>
        <v>6.41</v>
      </c>
      <c r="U5" s="110">
        <f>VLOOKUP(R5,收盤價!A:C,3,0)</f>
        <v>86.5</v>
      </c>
      <c r="V5" s="111">
        <f>ROUND(U5/T5,2)</f>
        <v>13.49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0</v>
      </c>
      <c r="S6" s="107" t="str">
        <f>LEFT(G1,2)</f>
        <v/>
      </c>
      <c r="T6" s="109" t="e">
        <f>ROUND(PK!L13,2)</f>
        <v>#N/A</v>
      </c>
      <c r="U6" s="110" t="e">
        <f>VLOOKUP(R6,收盤價!A:C,3,0)</f>
        <v>#N/A</v>
      </c>
      <c r="V6" s="111" t="e">
        <f>ROUND(U6/T6,0)</f>
        <v>#N/A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445"/>
      <c r="T7" s="445"/>
      <c r="U7" s="445"/>
      <c r="V7" s="446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441" t="s">
        <v>1868</v>
      </c>
      <c r="C14" s="441"/>
      <c r="D14" s="441"/>
      <c r="E14" s="441"/>
      <c r="F14" s="441"/>
      <c r="G14" s="441"/>
      <c r="H14" s="441"/>
      <c r="I14" s="43"/>
      <c r="J14" s="441" t="s">
        <v>205</v>
      </c>
      <c r="K14" s="441"/>
      <c r="L14" s="441"/>
      <c r="M14" s="441"/>
      <c r="N14" s="441"/>
      <c r="O14" s="441"/>
      <c r="P14" s="441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441" t="s">
        <v>1867</v>
      </c>
      <c r="C25" s="441"/>
      <c r="D25" s="441"/>
      <c r="E25" s="441"/>
      <c r="F25" s="441"/>
      <c r="G25" s="441"/>
      <c r="H25" s="441"/>
      <c r="I25" s="43"/>
      <c r="J25" s="441" t="s">
        <v>1870</v>
      </c>
      <c r="K25" s="441"/>
      <c r="L25" s="441"/>
      <c r="M25" s="441"/>
      <c r="N25" s="441"/>
      <c r="O25" s="441"/>
      <c r="P25" s="441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 filterMode="1"/>
  <dimension ref="A1:K6448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I6461" sqref="I6461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0" customWidth="1"/>
    <col min="12" max="16384" width="9" style="27"/>
  </cols>
  <sheetData>
    <row r="1" spans="1:11" s="20" customFormat="1" ht="39">
      <c r="A1" s="47" t="s">
        <v>2070</v>
      </c>
      <c r="B1" s="48" t="s">
        <v>2265</v>
      </c>
      <c r="C1" s="48" t="s">
        <v>227</v>
      </c>
      <c r="D1" s="48" t="s">
        <v>228</v>
      </c>
      <c r="E1" s="48" t="s">
        <v>229</v>
      </c>
      <c r="F1" s="49" t="s">
        <v>232</v>
      </c>
      <c r="G1" s="49" t="s">
        <v>231</v>
      </c>
      <c r="H1" s="49" t="s">
        <v>226</v>
      </c>
      <c r="I1" s="49" t="s">
        <v>230</v>
      </c>
      <c r="J1" s="50" t="s">
        <v>233</v>
      </c>
      <c r="K1" s="199"/>
    </row>
    <row r="2" spans="1:11" customFormat="1" hidden="1">
      <c r="A2">
        <v>9962</v>
      </c>
      <c r="B2" t="s">
        <v>2117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>
        <v>-27.06</v>
      </c>
      <c r="K2">
        <v>0</v>
      </c>
    </row>
    <row r="3" spans="1:11" customFormat="1" hidden="1">
      <c r="A3">
        <v>9960</v>
      </c>
      <c r="B3" t="s">
        <v>535</v>
      </c>
      <c r="C3" s="46">
        <v>41000</v>
      </c>
      <c r="D3" s="46">
        <v>39898</v>
      </c>
      <c r="E3" s="46">
        <v>48567</v>
      </c>
      <c r="F3">
        <v>2.76</v>
      </c>
      <c r="G3">
        <v>-15.58</v>
      </c>
      <c r="H3" s="46">
        <v>480188</v>
      </c>
      <c r="I3" s="46">
        <v>565632</v>
      </c>
      <c r="J3">
        <v>-15.1</v>
      </c>
      <c r="K3">
        <v>0</v>
      </c>
    </row>
    <row r="4" spans="1:11" customFormat="1" hidden="1">
      <c r="A4" s="288">
        <v>9951</v>
      </c>
      <c r="B4" s="288" t="s">
        <v>2275</v>
      </c>
      <c r="C4" s="46">
        <v>331642</v>
      </c>
      <c r="D4" s="46">
        <v>333945</v>
      </c>
      <c r="E4" s="46">
        <v>284114</v>
      </c>
      <c r="F4">
        <v>-0.68</v>
      </c>
      <c r="G4">
        <v>16.72</v>
      </c>
      <c r="H4" s="46">
        <v>3375283</v>
      </c>
      <c r="I4" s="46">
        <v>2837231</v>
      </c>
      <c r="J4">
        <v>18.96</v>
      </c>
      <c r="K4">
        <v>1</v>
      </c>
    </row>
    <row r="5" spans="1:11" customFormat="1" hidden="1">
      <c r="A5">
        <v>9950</v>
      </c>
      <c r="B5" t="s">
        <v>2075</v>
      </c>
      <c r="C5" s="46">
        <v>294681</v>
      </c>
      <c r="D5" s="46">
        <v>274028</v>
      </c>
      <c r="E5" s="46">
        <v>278045</v>
      </c>
      <c r="F5">
        <v>7.53</v>
      </c>
      <c r="G5">
        <v>5.98</v>
      </c>
      <c r="H5" s="46">
        <v>3122247</v>
      </c>
      <c r="I5" s="46">
        <v>3227210</v>
      </c>
      <c r="J5">
        <v>-3.25</v>
      </c>
      <c r="K5">
        <v>0</v>
      </c>
    </row>
    <row r="6" spans="1:11" customFormat="1" hidden="1">
      <c r="A6">
        <v>9949</v>
      </c>
      <c r="B6" t="s">
        <v>534</v>
      </c>
      <c r="C6" s="46">
        <v>30082</v>
      </c>
      <c r="D6" s="46">
        <v>35712</v>
      </c>
      <c r="E6" s="46">
        <v>44485</v>
      </c>
      <c r="F6">
        <v>-15.76</v>
      </c>
      <c r="G6">
        <v>-32.369999999999997</v>
      </c>
      <c r="H6" s="46">
        <v>352697</v>
      </c>
      <c r="I6" s="46">
        <v>443034</v>
      </c>
      <c r="J6">
        <v>-20.39</v>
      </c>
      <c r="K6">
        <v>0</v>
      </c>
    </row>
    <row r="7" spans="1:11" customFormat="1" hidden="1">
      <c r="A7">
        <v>8942</v>
      </c>
      <c r="B7" t="s">
        <v>1846</v>
      </c>
      <c r="C7" s="46">
        <v>320793</v>
      </c>
      <c r="D7" s="46">
        <v>366423</v>
      </c>
      <c r="E7" s="46">
        <v>320279</v>
      </c>
      <c r="F7">
        <v>-12.45</v>
      </c>
      <c r="G7">
        <v>0.16</v>
      </c>
      <c r="H7" s="46">
        <v>4415484</v>
      </c>
      <c r="I7" s="46">
        <v>3230104</v>
      </c>
      <c r="J7">
        <v>36.69</v>
      </c>
      <c r="K7">
        <v>0</v>
      </c>
    </row>
    <row r="8" spans="1:11" customFormat="1" hidden="1">
      <c r="A8">
        <v>8941</v>
      </c>
      <c r="B8" t="s">
        <v>533</v>
      </c>
      <c r="C8" s="46">
        <v>176449</v>
      </c>
      <c r="D8" s="46">
        <v>191024</v>
      </c>
      <c r="E8" s="46">
        <v>156855</v>
      </c>
      <c r="F8">
        <v>-7.62</v>
      </c>
      <c r="G8">
        <v>12.49</v>
      </c>
      <c r="H8" s="46">
        <v>2294842</v>
      </c>
      <c r="I8" s="46">
        <v>2344194</v>
      </c>
      <c r="J8">
        <v>-2.1</v>
      </c>
      <c r="K8">
        <v>0</v>
      </c>
    </row>
    <row r="9" spans="1:11" customFormat="1" hidden="1">
      <c r="A9">
        <v>8938</v>
      </c>
      <c r="B9" t="s">
        <v>532</v>
      </c>
      <c r="C9" s="46">
        <v>934470</v>
      </c>
      <c r="D9" s="46">
        <v>813556</v>
      </c>
      <c r="E9" s="46">
        <v>868887</v>
      </c>
      <c r="F9">
        <v>14.86</v>
      </c>
      <c r="G9">
        <v>7.54</v>
      </c>
      <c r="H9" s="46">
        <v>7870328</v>
      </c>
      <c r="I9" s="46">
        <v>8625616</v>
      </c>
      <c r="J9">
        <v>-8.75</v>
      </c>
      <c r="K9">
        <v>1</v>
      </c>
    </row>
    <row r="10" spans="1:11" customFormat="1" hidden="1">
      <c r="A10">
        <v>8937</v>
      </c>
      <c r="B10" t="s">
        <v>2401</v>
      </c>
      <c r="C10" s="46">
        <v>17286</v>
      </c>
      <c r="D10" s="46">
        <v>19636</v>
      </c>
      <c r="E10" s="46">
        <v>23250</v>
      </c>
      <c r="F10">
        <v>-11.96</v>
      </c>
      <c r="G10">
        <v>-25.65</v>
      </c>
      <c r="H10" s="46">
        <v>379692</v>
      </c>
      <c r="I10" s="46">
        <v>435929</v>
      </c>
      <c r="J10">
        <v>-12.9</v>
      </c>
      <c r="K10">
        <v>0</v>
      </c>
    </row>
    <row r="11" spans="1:11" customFormat="1" hidden="1">
      <c r="A11" s="288">
        <v>8936</v>
      </c>
      <c r="B11" s="288" t="s">
        <v>2258</v>
      </c>
      <c r="C11" s="46">
        <v>253751</v>
      </c>
      <c r="D11" s="46">
        <v>252365</v>
      </c>
      <c r="E11" s="46">
        <v>385269</v>
      </c>
      <c r="F11">
        <v>0.54</v>
      </c>
      <c r="G11">
        <v>-34.130000000000003</v>
      </c>
      <c r="H11" s="46">
        <v>4040084</v>
      </c>
      <c r="I11" s="46">
        <v>3536100</v>
      </c>
      <c r="J11">
        <v>14.25</v>
      </c>
      <c r="K11">
        <v>0</v>
      </c>
    </row>
    <row r="12" spans="1:11" customFormat="1" hidden="1">
      <c r="A12">
        <v>8935</v>
      </c>
      <c r="B12" t="s">
        <v>531</v>
      </c>
      <c r="C12" s="46">
        <v>53139</v>
      </c>
      <c r="D12" s="46">
        <v>52598</v>
      </c>
      <c r="E12" s="46">
        <v>68555</v>
      </c>
      <c r="F12">
        <v>1.02</v>
      </c>
      <c r="G12">
        <v>-22.48</v>
      </c>
      <c r="H12" s="46">
        <v>667873</v>
      </c>
      <c r="I12" s="46">
        <v>667095</v>
      </c>
      <c r="J12">
        <v>0.11</v>
      </c>
      <c r="K12">
        <v>0</v>
      </c>
    </row>
    <row r="13" spans="1:11" customFormat="1" hidden="1">
      <c r="A13">
        <v>8934</v>
      </c>
      <c r="B13" t="s">
        <v>1843</v>
      </c>
      <c r="C13" s="46">
        <v>50059</v>
      </c>
      <c r="D13" s="46">
        <v>59238</v>
      </c>
      <c r="E13" s="46">
        <v>54426</v>
      </c>
      <c r="F13">
        <v>-15.49</v>
      </c>
      <c r="G13">
        <v>-8.02</v>
      </c>
      <c r="H13" s="46">
        <v>607499</v>
      </c>
      <c r="I13" s="46">
        <v>619042</v>
      </c>
      <c r="J13">
        <v>-1.86</v>
      </c>
      <c r="K13">
        <v>0</v>
      </c>
    </row>
    <row r="14" spans="1:11" customFormat="1" hidden="1">
      <c r="A14">
        <v>8933</v>
      </c>
      <c r="B14" t="s">
        <v>1842</v>
      </c>
      <c r="C14" s="46">
        <v>509035</v>
      </c>
      <c r="D14" s="46">
        <v>538213</v>
      </c>
      <c r="E14" s="46">
        <v>510273</v>
      </c>
      <c r="F14">
        <v>-5.42</v>
      </c>
      <c r="G14">
        <v>-0.24</v>
      </c>
      <c r="H14" s="46">
        <v>5501146</v>
      </c>
      <c r="I14" s="46">
        <v>3722335</v>
      </c>
      <c r="J14">
        <v>47.78</v>
      </c>
      <c r="K14">
        <v>0</v>
      </c>
    </row>
    <row r="15" spans="1:11" customFormat="1" hidden="1">
      <c r="A15">
        <v>8932</v>
      </c>
      <c r="B15" t="s">
        <v>2400</v>
      </c>
      <c r="C15" s="46">
        <v>70515</v>
      </c>
      <c r="D15" s="46">
        <v>81338</v>
      </c>
      <c r="E15" s="46">
        <v>73676</v>
      </c>
      <c r="F15">
        <v>-13.3</v>
      </c>
      <c r="G15">
        <v>-4.29</v>
      </c>
      <c r="H15" s="46">
        <v>1108473</v>
      </c>
      <c r="I15" s="46">
        <v>1071712</v>
      </c>
      <c r="J15">
        <v>3.43</v>
      </c>
      <c r="K15">
        <v>0</v>
      </c>
    </row>
    <row r="16" spans="1:11" customFormat="1" hidden="1">
      <c r="A16">
        <v>8931</v>
      </c>
      <c r="B16" t="s">
        <v>2234</v>
      </c>
      <c r="C16" s="46">
        <v>103229</v>
      </c>
      <c r="D16" s="46">
        <v>106998</v>
      </c>
      <c r="E16" s="46">
        <v>109675</v>
      </c>
      <c r="F16">
        <v>-3.52</v>
      </c>
      <c r="G16">
        <v>-5.87</v>
      </c>
      <c r="H16" s="46">
        <v>1228083</v>
      </c>
      <c r="I16" s="46">
        <v>1272044</v>
      </c>
      <c r="J16">
        <v>-3.45</v>
      </c>
      <c r="K16">
        <v>0</v>
      </c>
    </row>
    <row r="17" spans="1:11" customFormat="1" hidden="1">
      <c r="A17" s="288">
        <v>8930</v>
      </c>
      <c r="B17" s="288" t="s">
        <v>530</v>
      </c>
      <c r="C17" s="46">
        <v>79859</v>
      </c>
      <c r="D17" s="46">
        <v>79129</v>
      </c>
      <c r="E17" s="46">
        <v>93119</v>
      </c>
      <c r="F17">
        <v>0.92</v>
      </c>
      <c r="G17">
        <v>-14.23</v>
      </c>
      <c r="H17" s="46">
        <v>990968</v>
      </c>
      <c r="I17" s="46">
        <v>1262064</v>
      </c>
      <c r="J17">
        <v>-21.48</v>
      </c>
      <c r="K17">
        <v>0</v>
      </c>
    </row>
    <row r="18" spans="1:11" customFormat="1" hidden="1">
      <c r="A18">
        <v>8929</v>
      </c>
      <c r="B18" t="s">
        <v>529</v>
      </c>
      <c r="C18" s="46">
        <v>114819</v>
      </c>
      <c r="D18" s="46">
        <v>113319</v>
      </c>
      <c r="E18" s="46">
        <v>102174</v>
      </c>
      <c r="F18">
        <v>1.32</v>
      </c>
      <c r="G18">
        <v>12.37</v>
      </c>
      <c r="H18" s="46">
        <v>1213543</v>
      </c>
      <c r="I18" s="46">
        <v>1107772</v>
      </c>
      <c r="J18">
        <v>9.5399999999999991</v>
      </c>
      <c r="K18">
        <v>0</v>
      </c>
    </row>
    <row r="19" spans="1:11" customFormat="1" hidden="1">
      <c r="A19">
        <v>8928</v>
      </c>
      <c r="B19" t="s">
        <v>528</v>
      </c>
      <c r="C19" s="46">
        <v>266680</v>
      </c>
      <c r="D19" s="46">
        <v>173456</v>
      </c>
      <c r="E19" s="46">
        <v>298950</v>
      </c>
      <c r="F19">
        <v>53.74</v>
      </c>
      <c r="G19">
        <v>-10.79</v>
      </c>
      <c r="H19" s="46">
        <v>1807195</v>
      </c>
      <c r="I19" s="46">
        <v>1900510</v>
      </c>
      <c r="J19">
        <v>-4.9000000000000004</v>
      </c>
      <c r="K19">
        <v>1</v>
      </c>
    </row>
    <row r="20" spans="1:11" customFormat="1" hidden="1">
      <c r="A20">
        <v>8927</v>
      </c>
      <c r="B20" t="s">
        <v>527</v>
      </c>
      <c r="C20" s="46">
        <v>291609</v>
      </c>
      <c r="D20" s="46">
        <v>309888</v>
      </c>
      <c r="E20" s="46">
        <v>279113</v>
      </c>
      <c r="F20">
        <v>-5.89</v>
      </c>
      <c r="G20">
        <v>4.47</v>
      </c>
      <c r="H20" s="46">
        <v>3087764</v>
      </c>
      <c r="I20" s="46">
        <v>3622956</v>
      </c>
      <c r="J20">
        <v>-14.77</v>
      </c>
      <c r="K20">
        <v>0</v>
      </c>
    </row>
    <row r="21" spans="1:11" customFormat="1" hidden="1">
      <c r="A21">
        <v>8925</v>
      </c>
      <c r="B21" t="s">
        <v>1839</v>
      </c>
      <c r="C21" s="46">
        <v>37513</v>
      </c>
      <c r="D21" s="46">
        <v>73172</v>
      </c>
      <c r="E21" s="46">
        <v>306645</v>
      </c>
      <c r="F21">
        <v>-48.73</v>
      </c>
      <c r="G21">
        <v>-87.76</v>
      </c>
      <c r="H21" s="46">
        <v>1077046</v>
      </c>
      <c r="I21" s="46">
        <v>2031396</v>
      </c>
      <c r="J21">
        <v>-46.98</v>
      </c>
      <c r="K21">
        <v>0</v>
      </c>
    </row>
    <row r="22" spans="1:11" customFormat="1" hidden="1">
      <c r="A22" s="288">
        <v>8924</v>
      </c>
      <c r="B22" s="288" t="s">
        <v>2257</v>
      </c>
      <c r="C22" s="46">
        <v>551192</v>
      </c>
      <c r="D22" s="46">
        <v>549968</v>
      </c>
      <c r="E22" s="46">
        <v>501140</v>
      </c>
      <c r="F22">
        <v>0.22</v>
      </c>
      <c r="G22">
        <v>9.98</v>
      </c>
      <c r="H22" s="46">
        <v>3998670</v>
      </c>
      <c r="I22" s="46">
        <v>3798505</v>
      </c>
      <c r="J22">
        <v>5.26</v>
      </c>
      <c r="K22">
        <v>1</v>
      </c>
    </row>
    <row r="23" spans="1:11" customFormat="1" hidden="1">
      <c r="A23">
        <v>8923</v>
      </c>
      <c r="B23" t="s">
        <v>2411</v>
      </c>
      <c r="C23" s="46">
        <v>33599</v>
      </c>
      <c r="D23" s="46">
        <v>37981</v>
      </c>
      <c r="E23" s="46">
        <v>37744</v>
      </c>
      <c r="F23">
        <v>-11.53</v>
      </c>
      <c r="G23">
        <v>-10.98</v>
      </c>
      <c r="H23" s="46">
        <v>366730</v>
      </c>
      <c r="I23" s="46">
        <v>329030</v>
      </c>
      <c r="J23">
        <v>11.45</v>
      </c>
      <c r="K23">
        <v>0</v>
      </c>
    </row>
    <row r="24" spans="1:11" customFormat="1" hidden="1">
      <c r="A24">
        <v>8921</v>
      </c>
      <c r="B24" t="s">
        <v>2256</v>
      </c>
      <c r="C24" s="46">
        <v>67506</v>
      </c>
      <c r="D24" s="46">
        <v>61517</v>
      </c>
      <c r="E24" s="46">
        <v>72105</v>
      </c>
      <c r="F24">
        <v>9.73</v>
      </c>
      <c r="G24">
        <v>-6.37</v>
      </c>
      <c r="H24" s="46">
        <v>661788</v>
      </c>
      <c r="I24" s="46">
        <v>655197</v>
      </c>
      <c r="J24">
        <v>1</v>
      </c>
      <c r="K24">
        <v>1</v>
      </c>
    </row>
    <row r="25" spans="1:11" customFormat="1" hidden="1">
      <c r="A25">
        <v>8917</v>
      </c>
      <c r="B25" t="s">
        <v>526</v>
      </c>
      <c r="C25" s="46">
        <v>121762</v>
      </c>
      <c r="D25" s="46">
        <v>121284</v>
      </c>
      <c r="E25" s="46">
        <v>164672</v>
      </c>
      <c r="F25">
        <v>0.39</v>
      </c>
      <c r="G25">
        <v>-26.05</v>
      </c>
      <c r="H25" s="46">
        <v>1459250</v>
      </c>
      <c r="I25" s="46">
        <v>1847336</v>
      </c>
      <c r="J25">
        <v>-21</v>
      </c>
      <c r="K25">
        <v>0</v>
      </c>
    </row>
    <row r="26" spans="1:11" customFormat="1" hidden="1">
      <c r="A26" s="187">
        <v>8916</v>
      </c>
      <c r="B26" s="187" t="s">
        <v>525</v>
      </c>
      <c r="C26" s="317">
        <v>682629</v>
      </c>
      <c r="D26" s="317">
        <v>818950</v>
      </c>
      <c r="E26" s="317">
        <v>518366</v>
      </c>
      <c r="F26" s="27">
        <v>-16.64</v>
      </c>
      <c r="G26" s="27">
        <v>31.68</v>
      </c>
      <c r="H26" s="317">
        <v>8423030</v>
      </c>
      <c r="I26" s="317">
        <v>8574779</v>
      </c>
      <c r="J26" s="27">
        <v>-1.76</v>
      </c>
      <c r="K26" s="200">
        <v>0</v>
      </c>
    </row>
    <row r="27" spans="1:11" customFormat="1" hidden="1">
      <c r="A27">
        <v>8913</v>
      </c>
      <c r="B27" t="s">
        <v>524</v>
      </c>
      <c r="C27" s="46">
        <v>6640</v>
      </c>
      <c r="D27" s="46">
        <v>6315</v>
      </c>
      <c r="E27" s="46">
        <v>5496</v>
      </c>
      <c r="F27">
        <v>5.14</v>
      </c>
      <c r="G27">
        <v>20.81</v>
      </c>
      <c r="H27" s="46">
        <v>65644</v>
      </c>
      <c r="I27" s="46">
        <v>59710</v>
      </c>
      <c r="J27">
        <v>9.93</v>
      </c>
      <c r="K27">
        <v>1</v>
      </c>
    </row>
    <row r="28" spans="1:11" customFormat="1" hidden="1">
      <c r="A28">
        <v>8908</v>
      </c>
      <c r="B28" t="s">
        <v>523</v>
      </c>
      <c r="C28" s="46">
        <v>457514</v>
      </c>
      <c r="D28" s="46">
        <v>436917</v>
      </c>
      <c r="E28" s="46">
        <v>465285</v>
      </c>
      <c r="F28">
        <v>4.71</v>
      </c>
      <c r="G28">
        <v>-1.67</v>
      </c>
      <c r="H28" s="46">
        <v>4863068</v>
      </c>
      <c r="I28" s="46">
        <v>5436667</v>
      </c>
      <c r="J28">
        <v>-10.55</v>
      </c>
      <c r="K28">
        <v>0</v>
      </c>
    </row>
    <row r="29" spans="1:11" customFormat="1" hidden="1">
      <c r="A29">
        <v>8906</v>
      </c>
      <c r="B29" t="s">
        <v>2399</v>
      </c>
      <c r="C29" s="46">
        <v>23686</v>
      </c>
      <c r="D29" s="46">
        <v>20397</v>
      </c>
      <c r="E29" s="46">
        <v>17443</v>
      </c>
      <c r="F29">
        <v>16.12</v>
      </c>
      <c r="G29">
        <v>35.79</v>
      </c>
      <c r="H29" s="46">
        <v>189668</v>
      </c>
      <c r="I29" s="46">
        <v>166086</v>
      </c>
      <c r="J29">
        <v>14.19</v>
      </c>
      <c r="K29">
        <v>1</v>
      </c>
    </row>
    <row r="30" spans="1:11" customFormat="1" hidden="1">
      <c r="A30">
        <v>8905</v>
      </c>
      <c r="B30" t="s">
        <v>2255</v>
      </c>
      <c r="C30" s="46">
        <v>123742</v>
      </c>
      <c r="D30" s="46">
        <v>144081</v>
      </c>
      <c r="E30" s="46">
        <v>699032</v>
      </c>
      <c r="F30">
        <v>-14.11</v>
      </c>
      <c r="G30">
        <v>-82.29</v>
      </c>
      <c r="H30" s="46">
        <v>1798767</v>
      </c>
      <c r="I30" s="46">
        <v>3828189</v>
      </c>
      <c r="J30">
        <v>-53.01</v>
      </c>
      <c r="K30">
        <v>0</v>
      </c>
    </row>
    <row r="31" spans="1:11" customFormat="1" hidden="1">
      <c r="A31">
        <v>8450</v>
      </c>
      <c r="B31" t="s">
        <v>522</v>
      </c>
      <c r="C31" s="46">
        <v>53324</v>
      </c>
      <c r="D31" s="46">
        <v>51128</v>
      </c>
      <c r="E31" s="46">
        <v>46695</v>
      </c>
      <c r="F31">
        <v>4.29</v>
      </c>
      <c r="G31">
        <v>14.19</v>
      </c>
      <c r="H31" s="46">
        <v>584451</v>
      </c>
      <c r="I31" s="46">
        <v>597035</v>
      </c>
      <c r="J31">
        <v>-2.1</v>
      </c>
      <c r="K31">
        <v>0</v>
      </c>
    </row>
    <row r="32" spans="1:11" customFormat="1" hidden="1">
      <c r="A32">
        <v>8446</v>
      </c>
      <c r="B32" t="s">
        <v>2410</v>
      </c>
      <c r="C32" s="46">
        <v>96954</v>
      </c>
      <c r="D32" s="46">
        <v>98503</v>
      </c>
      <c r="E32" s="46">
        <v>58276</v>
      </c>
      <c r="F32">
        <v>-1.57</v>
      </c>
      <c r="G32">
        <v>66.37</v>
      </c>
      <c r="H32" s="46">
        <v>934854</v>
      </c>
      <c r="I32" s="46">
        <v>832885</v>
      </c>
      <c r="J32">
        <v>12.24</v>
      </c>
      <c r="K32">
        <v>1</v>
      </c>
    </row>
    <row r="33" spans="1:11" customFormat="1">
      <c r="A33" s="288" t="str">
        <f>HYPERLINK("http://tw.stock.yahoo.com/q/ta?s=4123","4123")</f>
        <v>4123</v>
      </c>
      <c r="B33" s="288" t="str">
        <f>HYPERLINK("http://tw.stock.yahoo.com/d/s/earning_4123.html","晟德")</f>
        <v>晟德</v>
      </c>
      <c r="C33" s="46">
        <v>1224627</v>
      </c>
      <c r="D33" s="46">
        <v>919925</v>
      </c>
      <c r="E33" s="46">
        <v>78793</v>
      </c>
      <c r="F33">
        <v>33.119999999999997</v>
      </c>
      <c r="G33" s="289">
        <v>1454.23</v>
      </c>
      <c r="H33" s="46">
        <v>4927012</v>
      </c>
      <c r="I33" s="46">
        <v>811313</v>
      </c>
      <c r="J33">
        <v>507.28</v>
      </c>
      <c r="K33">
        <v>1</v>
      </c>
    </row>
    <row r="34" spans="1:11" customFormat="1" hidden="1">
      <c r="A34" s="288">
        <v>8435</v>
      </c>
      <c r="B34" s="288" t="s">
        <v>521</v>
      </c>
      <c r="C34" s="46">
        <v>51169</v>
      </c>
      <c r="D34" s="46">
        <v>50184</v>
      </c>
      <c r="E34" s="46">
        <v>53078</v>
      </c>
      <c r="F34">
        <v>1.96</v>
      </c>
      <c r="G34">
        <v>-3.59</v>
      </c>
      <c r="H34" s="46">
        <v>574596</v>
      </c>
      <c r="I34" s="46">
        <v>572464</v>
      </c>
      <c r="J34">
        <v>0.37</v>
      </c>
      <c r="K34">
        <v>0</v>
      </c>
    </row>
    <row r="35" spans="1:11" customFormat="1" hidden="1">
      <c r="A35" s="288">
        <v>8433</v>
      </c>
      <c r="B35" s="288" t="s">
        <v>520</v>
      </c>
      <c r="C35" s="46">
        <v>217599</v>
      </c>
      <c r="D35" s="46">
        <v>237118</v>
      </c>
      <c r="E35" s="46">
        <v>162787</v>
      </c>
      <c r="F35">
        <v>-8.23</v>
      </c>
      <c r="G35">
        <v>33.67</v>
      </c>
      <c r="H35" s="46">
        <v>2263853</v>
      </c>
      <c r="I35" s="46">
        <v>1839505</v>
      </c>
      <c r="J35">
        <v>23.06</v>
      </c>
      <c r="K35">
        <v>1</v>
      </c>
    </row>
    <row r="36" spans="1:11" customFormat="1" hidden="1">
      <c r="A36">
        <v>8432</v>
      </c>
      <c r="B36" t="s">
        <v>519</v>
      </c>
      <c r="C36" s="46">
        <v>37020</v>
      </c>
      <c r="D36" s="46">
        <v>45635</v>
      </c>
      <c r="E36" s="46">
        <v>46244</v>
      </c>
      <c r="F36">
        <v>-18.87</v>
      </c>
      <c r="G36">
        <v>-19.940000000000001</v>
      </c>
      <c r="H36" s="46">
        <v>471638</v>
      </c>
      <c r="I36" s="46">
        <v>514863</v>
      </c>
      <c r="J36">
        <v>-8.39</v>
      </c>
      <c r="K36">
        <v>0</v>
      </c>
    </row>
    <row r="37" spans="1:11" customFormat="1" hidden="1">
      <c r="A37" s="288">
        <v>8431</v>
      </c>
      <c r="B37" s="288" t="s">
        <v>518</v>
      </c>
      <c r="C37" s="46">
        <v>61552</v>
      </c>
      <c r="D37" s="46">
        <v>56298</v>
      </c>
      <c r="E37" s="46">
        <v>89724</v>
      </c>
      <c r="F37">
        <v>9.33</v>
      </c>
      <c r="G37">
        <v>-31.39</v>
      </c>
      <c r="H37" s="46">
        <v>768198</v>
      </c>
      <c r="I37" s="46">
        <v>866243</v>
      </c>
      <c r="J37">
        <v>-11.31</v>
      </c>
      <c r="K37">
        <v>0</v>
      </c>
    </row>
    <row r="38" spans="1:11" customFormat="1" hidden="1">
      <c r="A38" s="288">
        <v>8424</v>
      </c>
      <c r="B38" s="288" t="s">
        <v>517</v>
      </c>
      <c r="C38" s="46">
        <v>71938</v>
      </c>
      <c r="D38" s="46">
        <v>74641</v>
      </c>
      <c r="E38" s="46">
        <v>71155</v>
      </c>
      <c r="F38">
        <v>-3.62</v>
      </c>
      <c r="G38">
        <v>1.1000000000000001</v>
      </c>
      <c r="H38" s="46">
        <v>777205</v>
      </c>
      <c r="I38" s="46">
        <v>788891</v>
      </c>
      <c r="J38">
        <v>-1.48</v>
      </c>
      <c r="K38">
        <v>0</v>
      </c>
    </row>
    <row r="39" spans="1:11" customFormat="1" hidden="1">
      <c r="A39">
        <v>8421</v>
      </c>
      <c r="B39" t="s">
        <v>516</v>
      </c>
      <c r="C39" s="46">
        <v>116895</v>
      </c>
      <c r="D39" s="46">
        <v>87987</v>
      </c>
      <c r="E39" s="46">
        <v>72673</v>
      </c>
      <c r="F39">
        <v>32.85</v>
      </c>
      <c r="G39">
        <v>60.85</v>
      </c>
      <c r="H39" s="46">
        <v>1002948</v>
      </c>
      <c r="I39" s="46">
        <v>890509</v>
      </c>
      <c r="J39">
        <v>12.62</v>
      </c>
      <c r="K39">
        <v>1</v>
      </c>
    </row>
    <row r="40" spans="1:11" customFormat="1" hidden="1">
      <c r="A40">
        <v>8420</v>
      </c>
      <c r="B40" t="s">
        <v>515</v>
      </c>
      <c r="C40" s="46">
        <v>115879</v>
      </c>
      <c r="D40" s="46">
        <v>91482</v>
      </c>
      <c r="E40" s="46">
        <v>102201</v>
      </c>
      <c r="F40">
        <v>26.66</v>
      </c>
      <c r="G40">
        <v>13.38</v>
      </c>
      <c r="H40" s="46">
        <v>1155220</v>
      </c>
      <c r="I40" s="46">
        <v>988039</v>
      </c>
      <c r="J40">
        <v>16.920000000000002</v>
      </c>
      <c r="K40">
        <v>1</v>
      </c>
    </row>
    <row r="41" spans="1:11" customFormat="1" hidden="1">
      <c r="A41">
        <v>8416</v>
      </c>
      <c r="B41" t="s">
        <v>514</v>
      </c>
      <c r="C41" s="46">
        <v>91239</v>
      </c>
      <c r="D41" s="46">
        <v>84518</v>
      </c>
      <c r="E41" s="46">
        <v>71825</v>
      </c>
      <c r="F41">
        <v>7.95</v>
      </c>
      <c r="G41">
        <v>27.02</v>
      </c>
      <c r="H41" s="46">
        <v>742634</v>
      </c>
      <c r="I41" s="46">
        <v>690606</v>
      </c>
      <c r="J41">
        <v>7.53</v>
      </c>
      <c r="K41">
        <v>1</v>
      </c>
    </row>
    <row r="42" spans="1:11" customFormat="1" hidden="1">
      <c r="A42" s="288">
        <v>8410</v>
      </c>
      <c r="B42" s="288" t="s">
        <v>513</v>
      </c>
      <c r="C42" s="46">
        <v>77198</v>
      </c>
      <c r="D42" s="46">
        <v>79499</v>
      </c>
      <c r="E42" s="46">
        <v>77543</v>
      </c>
      <c r="F42">
        <v>-2.89</v>
      </c>
      <c r="G42">
        <v>-0.44</v>
      </c>
      <c r="H42" s="46">
        <v>604009</v>
      </c>
      <c r="I42" s="46">
        <v>885120</v>
      </c>
      <c r="J42">
        <v>-31.75</v>
      </c>
      <c r="K42">
        <v>1</v>
      </c>
    </row>
    <row r="43" spans="1:11" customFormat="1">
      <c r="A43" s="288" t="str">
        <f>HYPERLINK("http://tw.stock.yahoo.com/q/ta?s=4415","4415")</f>
        <v>4415</v>
      </c>
      <c r="B43" s="288" t="str">
        <f>HYPERLINK("http://tw.stock.yahoo.com/d/s/earning_4415.html","台原藥")</f>
        <v>台原藥</v>
      </c>
      <c r="C43" s="46">
        <v>23382</v>
      </c>
      <c r="D43" s="46">
        <v>14800</v>
      </c>
      <c r="E43" s="46">
        <v>88</v>
      </c>
      <c r="F43">
        <v>57.98</v>
      </c>
      <c r="G43" s="289">
        <v>26470.45</v>
      </c>
      <c r="H43" s="46">
        <v>77259</v>
      </c>
      <c r="I43" s="46">
        <v>17545</v>
      </c>
      <c r="J43">
        <v>340.34</v>
      </c>
      <c r="K43">
        <v>1</v>
      </c>
    </row>
    <row r="44" spans="1:11" customFormat="1" hidden="1">
      <c r="A44">
        <v>8403</v>
      </c>
      <c r="B44" t="s">
        <v>2288</v>
      </c>
      <c r="C44" s="46">
        <v>179487</v>
      </c>
      <c r="D44" s="46">
        <v>202360</v>
      </c>
      <c r="E44" s="46">
        <v>152686</v>
      </c>
      <c r="F44">
        <v>-11.3</v>
      </c>
      <c r="G44">
        <v>17.55</v>
      </c>
      <c r="H44" s="46">
        <v>1934367</v>
      </c>
      <c r="I44" s="46">
        <v>1783494</v>
      </c>
      <c r="J44">
        <v>8.4499999999999993</v>
      </c>
      <c r="K44">
        <v>0</v>
      </c>
    </row>
    <row r="45" spans="1:11" customFormat="1" hidden="1">
      <c r="A45">
        <v>8401</v>
      </c>
      <c r="B45" t="s">
        <v>2254</v>
      </c>
      <c r="C45" s="46">
        <v>130112</v>
      </c>
      <c r="D45" s="46">
        <v>122398</v>
      </c>
      <c r="E45" s="46">
        <v>152627</v>
      </c>
      <c r="F45">
        <v>6.3</v>
      </c>
      <c r="G45">
        <v>-14.75</v>
      </c>
      <c r="H45" s="46">
        <v>1219663</v>
      </c>
      <c r="I45" s="46">
        <v>1285661</v>
      </c>
      <c r="J45">
        <v>-5.13</v>
      </c>
      <c r="K45">
        <v>1</v>
      </c>
    </row>
    <row r="46" spans="1:11" customFormat="1" hidden="1">
      <c r="A46">
        <v>8390</v>
      </c>
      <c r="B46" t="s">
        <v>1823</v>
      </c>
      <c r="C46" s="46">
        <v>205270</v>
      </c>
      <c r="D46" s="46">
        <v>237556</v>
      </c>
      <c r="E46" s="46">
        <v>308787</v>
      </c>
      <c r="F46">
        <v>-13.59</v>
      </c>
      <c r="G46">
        <v>-33.520000000000003</v>
      </c>
      <c r="H46" s="46">
        <v>2800868</v>
      </c>
      <c r="I46" s="46">
        <v>3512214</v>
      </c>
      <c r="J46">
        <v>-20.25</v>
      </c>
      <c r="K46">
        <v>0</v>
      </c>
    </row>
    <row r="47" spans="1:11" customFormat="1" hidden="1">
      <c r="A47">
        <v>8383</v>
      </c>
      <c r="B47" t="s">
        <v>512</v>
      </c>
      <c r="C47" s="46">
        <v>298816</v>
      </c>
      <c r="D47" s="46">
        <v>319102</v>
      </c>
      <c r="E47" s="46">
        <v>229302</v>
      </c>
      <c r="F47">
        <v>-6.35</v>
      </c>
      <c r="G47">
        <v>30.31</v>
      </c>
      <c r="H47" s="46">
        <v>2845316</v>
      </c>
      <c r="I47" s="46">
        <v>2710469</v>
      </c>
      <c r="J47">
        <v>4.97</v>
      </c>
      <c r="K47">
        <v>1</v>
      </c>
    </row>
    <row r="48" spans="1:11" customFormat="1" hidden="1">
      <c r="A48">
        <v>8358</v>
      </c>
      <c r="B48" t="s">
        <v>2214</v>
      </c>
      <c r="C48" s="46">
        <v>373290</v>
      </c>
      <c r="D48" s="46">
        <v>377007</v>
      </c>
      <c r="E48" s="46">
        <v>301682</v>
      </c>
      <c r="F48">
        <v>-0.98</v>
      </c>
      <c r="G48">
        <v>23.73</v>
      </c>
      <c r="H48" s="46">
        <v>3904545</v>
      </c>
      <c r="I48" s="46">
        <v>3694108</v>
      </c>
      <c r="J48">
        <v>5.69</v>
      </c>
      <c r="K48">
        <v>1</v>
      </c>
    </row>
    <row r="49" spans="1:11" customFormat="1" hidden="1">
      <c r="A49">
        <v>8354</v>
      </c>
      <c r="B49" t="s">
        <v>2074</v>
      </c>
      <c r="C49" s="46">
        <v>70785</v>
      </c>
      <c r="D49" s="46">
        <v>81104</v>
      </c>
      <c r="E49" s="46">
        <v>92916</v>
      </c>
      <c r="F49">
        <v>-12.72</v>
      </c>
      <c r="G49">
        <v>-23.81</v>
      </c>
      <c r="H49" s="46">
        <v>860341</v>
      </c>
      <c r="I49" s="46">
        <v>1035873</v>
      </c>
      <c r="J49">
        <v>-16.940000000000001</v>
      </c>
      <c r="K49">
        <v>0</v>
      </c>
    </row>
    <row r="50" spans="1:11" customFormat="1" hidden="1">
      <c r="A50" s="288">
        <v>8349</v>
      </c>
      <c r="B50" s="288" t="s">
        <v>2116</v>
      </c>
      <c r="C50" s="46">
        <v>850053</v>
      </c>
      <c r="D50" s="46">
        <v>782909</v>
      </c>
      <c r="E50" s="46">
        <v>827698</v>
      </c>
      <c r="F50">
        <v>8.57</v>
      </c>
      <c r="G50">
        <v>2.7</v>
      </c>
      <c r="H50" s="46">
        <v>8838370</v>
      </c>
      <c r="I50" s="46">
        <v>5970947</v>
      </c>
      <c r="J50">
        <v>48.02</v>
      </c>
      <c r="K50">
        <v>1</v>
      </c>
    </row>
    <row r="51" spans="1:11" customFormat="1" hidden="1">
      <c r="A51">
        <v>8299</v>
      </c>
      <c r="B51" t="s">
        <v>2315</v>
      </c>
      <c r="C51" s="46">
        <v>3227037</v>
      </c>
      <c r="D51" s="46">
        <v>4170476</v>
      </c>
      <c r="E51" s="46">
        <v>2911902</v>
      </c>
      <c r="F51">
        <v>-22.62</v>
      </c>
      <c r="G51">
        <v>10.82</v>
      </c>
      <c r="H51" s="46">
        <v>34214963</v>
      </c>
      <c r="I51" s="46">
        <v>30339679</v>
      </c>
      <c r="J51">
        <v>12.77</v>
      </c>
      <c r="K51">
        <v>0</v>
      </c>
    </row>
    <row r="52" spans="1:11" customFormat="1" hidden="1">
      <c r="A52">
        <v>8291</v>
      </c>
      <c r="B52" t="s">
        <v>2213</v>
      </c>
      <c r="C52" s="46">
        <v>48474</v>
      </c>
      <c r="D52" s="46">
        <v>54633</v>
      </c>
      <c r="E52" s="46">
        <v>37853</v>
      </c>
      <c r="F52">
        <v>-11.27</v>
      </c>
      <c r="G52">
        <v>28.05</v>
      </c>
      <c r="H52" s="46">
        <v>498691</v>
      </c>
      <c r="I52" s="46">
        <v>539498</v>
      </c>
      <c r="J52">
        <v>-7.56</v>
      </c>
      <c r="K52">
        <v>1</v>
      </c>
    </row>
    <row r="53" spans="1:11" customFormat="1" hidden="1">
      <c r="A53">
        <v>8289</v>
      </c>
      <c r="B53" t="s">
        <v>2359</v>
      </c>
      <c r="C53" s="46">
        <v>129236</v>
      </c>
      <c r="D53" s="46">
        <v>117422</v>
      </c>
      <c r="E53" s="46">
        <v>130367</v>
      </c>
      <c r="F53">
        <v>10.06</v>
      </c>
      <c r="G53">
        <v>-0.86</v>
      </c>
      <c r="H53" s="46">
        <v>1459567</v>
      </c>
      <c r="I53" s="46">
        <v>1470349</v>
      </c>
      <c r="J53">
        <v>-0.73</v>
      </c>
      <c r="K53">
        <v>0</v>
      </c>
    </row>
    <row r="54" spans="1:11" customFormat="1">
      <c r="A54" s="288" t="str">
        <f>HYPERLINK("http://tw.stock.yahoo.com/q/ta?s=1795","1795")</f>
        <v>1795</v>
      </c>
      <c r="B54" s="288" t="str">
        <f>HYPERLINK("http://tw.stock.yahoo.com/d/s/earning_1795.html","美時製藥")</f>
        <v>美時製藥</v>
      </c>
      <c r="C54" s="46">
        <v>513527</v>
      </c>
      <c r="D54" s="46">
        <v>453161</v>
      </c>
      <c r="E54" s="46">
        <v>201901</v>
      </c>
      <c r="F54">
        <v>13.32</v>
      </c>
      <c r="G54">
        <v>154.34</v>
      </c>
      <c r="H54" s="46">
        <v>5013342</v>
      </c>
      <c r="I54" s="46">
        <v>2035549</v>
      </c>
      <c r="J54">
        <v>146.28</v>
      </c>
      <c r="K54">
        <v>1</v>
      </c>
    </row>
    <row r="55" spans="1:11" customFormat="1" hidden="1">
      <c r="A55">
        <v>8277</v>
      </c>
      <c r="B55" t="s">
        <v>2141</v>
      </c>
      <c r="C55" s="46">
        <v>46789</v>
      </c>
      <c r="D55" s="46">
        <v>61716</v>
      </c>
      <c r="E55" s="46">
        <v>64081</v>
      </c>
      <c r="F55">
        <v>-24.18</v>
      </c>
      <c r="G55">
        <v>-26.98</v>
      </c>
      <c r="H55" s="46">
        <v>523412</v>
      </c>
      <c r="I55" s="46">
        <v>1330805</v>
      </c>
      <c r="J55">
        <v>-60.66</v>
      </c>
      <c r="K55">
        <v>0</v>
      </c>
    </row>
    <row r="56" spans="1:11" customFormat="1" hidden="1">
      <c r="A56">
        <v>8266</v>
      </c>
      <c r="B56" t="s">
        <v>1814</v>
      </c>
      <c r="C56" s="46">
        <v>286619</v>
      </c>
      <c r="D56" s="46">
        <v>442027</v>
      </c>
      <c r="E56" s="46">
        <v>175316</v>
      </c>
      <c r="F56">
        <v>-35.15</v>
      </c>
      <c r="G56">
        <v>63.48</v>
      </c>
      <c r="H56" s="46">
        <v>2667710</v>
      </c>
      <c r="I56" s="46">
        <v>1292117</v>
      </c>
      <c r="J56">
        <v>106.46</v>
      </c>
      <c r="K56">
        <v>1</v>
      </c>
    </row>
    <row r="57" spans="1:11" customFormat="1" hidden="1">
      <c r="A57">
        <v>8255</v>
      </c>
      <c r="B57" t="s">
        <v>2089</v>
      </c>
      <c r="C57" s="46">
        <v>309179</v>
      </c>
      <c r="D57" s="46">
        <v>297769</v>
      </c>
      <c r="E57" s="46">
        <v>270535</v>
      </c>
      <c r="F57">
        <v>3.83</v>
      </c>
      <c r="G57">
        <v>14.28</v>
      </c>
      <c r="H57" s="46">
        <v>3249380</v>
      </c>
      <c r="I57" s="46">
        <v>3215268</v>
      </c>
      <c r="J57">
        <v>1.06</v>
      </c>
      <c r="K57">
        <v>0</v>
      </c>
    </row>
    <row r="58" spans="1:11" customFormat="1" hidden="1">
      <c r="A58">
        <v>8240</v>
      </c>
      <c r="B58" t="s">
        <v>2327</v>
      </c>
      <c r="C58" s="46">
        <v>853802</v>
      </c>
      <c r="D58" s="46">
        <v>855070</v>
      </c>
      <c r="E58" s="46">
        <v>907696</v>
      </c>
      <c r="F58">
        <v>-0.14000000000000001</v>
      </c>
      <c r="G58">
        <v>-5.93</v>
      </c>
      <c r="H58" s="46">
        <v>8824342</v>
      </c>
      <c r="I58" s="46">
        <v>11327934</v>
      </c>
      <c r="J58">
        <v>-22.1</v>
      </c>
      <c r="K58">
        <v>1</v>
      </c>
    </row>
    <row r="59" spans="1:11" customFormat="1" hidden="1">
      <c r="A59">
        <v>8234</v>
      </c>
      <c r="B59" t="s">
        <v>511</v>
      </c>
      <c r="C59" s="46">
        <v>518377</v>
      </c>
      <c r="D59" s="46">
        <v>484542</v>
      </c>
      <c r="E59" s="46">
        <v>437173</v>
      </c>
      <c r="F59">
        <v>6.98</v>
      </c>
      <c r="G59">
        <v>18.57</v>
      </c>
      <c r="H59" s="46">
        <v>4958278</v>
      </c>
      <c r="I59" s="46">
        <v>4829484</v>
      </c>
      <c r="J59">
        <v>2.66</v>
      </c>
      <c r="K59">
        <v>1</v>
      </c>
    </row>
    <row r="60" spans="1:11" customFormat="1" hidden="1">
      <c r="A60">
        <v>8183</v>
      </c>
      <c r="B60" t="s">
        <v>2385</v>
      </c>
      <c r="C60" s="46">
        <v>249565</v>
      </c>
      <c r="D60" s="46">
        <v>261952</v>
      </c>
      <c r="E60" s="46">
        <v>281597</v>
      </c>
      <c r="F60">
        <v>-4.72</v>
      </c>
      <c r="G60">
        <v>-11.37</v>
      </c>
      <c r="H60" s="46">
        <v>2371086</v>
      </c>
      <c r="I60" s="46">
        <v>2976093</v>
      </c>
      <c r="J60">
        <v>-20.32</v>
      </c>
      <c r="K60">
        <v>1</v>
      </c>
    </row>
    <row r="61" spans="1:11" customFormat="1" hidden="1">
      <c r="A61">
        <v>8182</v>
      </c>
      <c r="B61" t="s">
        <v>2212</v>
      </c>
      <c r="C61" s="46">
        <v>268592</v>
      </c>
      <c r="D61" s="46">
        <v>278210</v>
      </c>
      <c r="E61" s="46">
        <v>237855</v>
      </c>
      <c r="F61">
        <v>-3.45</v>
      </c>
      <c r="G61">
        <v>12.92</v>
      </c>
      <c r="H61" s="46">
        <v>2572002</v>
      </c>
      <c r="I61" s="46">
        <v>2641174</v>
      </c>
      <c r="J61">
        <v>-2.61</v>
      </c>
      <c r="K61">
        <v>1</v>
      </c>
    </row>
    <row r="62" spans="1:11" customFormat="1" hidden="1">
      <c r="A62" s="288">
        <v>8176</v>
      </c>
      <c r="B62" s="288" t="s">
        <v>1809</v>
      </c>
      <c r="C62" s="46">
        <v>130375</v>
      </c>
      <c r="D62" s="46">
        <v>138268</v>
      </c>
      <c r="E62" s="46">
        <v>82985</v>
      </c>
      <c r="F62">
        <v>-5.7</v>
      </c>
      <c r="G62">
        <v>57.1</v>
      </c>
      <c r="H62" s="46">
        <v>1188954</v>
      </c>
      <c r="I62" s="46">
        <v>1080109</v>
      </c>
      <c r="J62">
        <v>10.07</v>
      </c>
      <c r="K62">
        <v>1</v>
      </c>
    </row>
    <row r="63" spans="1:11" customFormat="1" hidden="1">
      <c r="A63" s="288">
        <v>8171</v>
      </c>
      <c r="B63" s="288" t="s">
        <v>2177</v>
      </c>
      <c r="C63" s="46">
        <v>137403</v>
      </c>
      <c r="D63" s="46">
        <v>206497</v>
      </c>
      <c r="E63" s="46">
        <v>243082</v>
      </c>
      <c r="F63">
        <v>-33.46</v>
      </c>
      <c r="G63">
        <v>-43.47</v>
      </c>
      <c r="H63" s="46">
        <v>2063663</v>
      </c>
      <c r="I63" s="46">
        <v>2947417</v>
      </c>
      <c r="J63">
        <v>-29.98</v>
      </c>
      <c r="K63">
        <v>0</v>
      </c>
    </row>
    <row r="64" spans="1:11" customFormat="1" hidden="1">
      <c r="A64">
        <v>8155</v>
      </c>
      <c r="B64" t="s">
        <v>2211</v>
      </c>
      <c r="C64" s="46">
        <v>122724</v>
      </c>
      <c r="D64" s="46">
        <v>120761</v>
      </c>
      <c r="E64" s="46">
        <v>159291</v>
      </c>
      <c r="F64">
        <v>1.62</v>
      </c>
      <c r="G64">
        <v>-22.95</v>
      </c>
      <c r="H64" s="46">
        <v>1403903</v>
      </c>
      <c r="I64" s="46">
        <v>1624615</v>
      </c>
      <c r="J64">
        <v>-13.58</v>
      </c>
      <c r="K64">
        <v>0</v>
      </c>
    </row>
    <row r="65" spans="1:11" customFormat="1" hidden="1">
      <c r="A65" s="288">
        <v>8147</v>
      </c>
      <c r="B65" s="288" t="s">
        <v>2358</v>
      </c>
      <c r="C65" s="46">
        <v>64602</v>
      </c>
      <c r="D65" s="46">
        <v>68309</v>
      </c>
      <c r="E65" s="46">
        <v>60290</v>
      </c>
      <c r="F65">
        <v>-5.42</v>
      </c>
      <c r="G65" s="289">
        <v>7.15</v>
      </c>
      <c r="H65" s="46">
        <v>738516</v>
      </c>
      <c r="I65" s="46">
        <v>657823</v>
      </c>
      <c r="J65" s="289">
        <v>12.26</v>
      </c>
      <c r="K65">
        <v>0</v>
      </c>
    </row>
    <row r="66" spans="1:11" customFormat="1" hidden="1">
      <c r="A66">
        <v>8121</v>
      </c>
      <c r="B66" t="s">
        <v>2210</v>
      </c>
      <c r="C66" s="46">
        <v>188940</v>
      </c>
      <c r="D66" s="46">
        <v>181033</v>
      </c>
      <c r="E66" s="46">
        <v>206348</v>
      </c>
      <c r="F66">
        <v>4.3600000000000003</v>
      </c>
      <c r="G66">
        <v>-8.43</v>
      </c>
      <c r="H66" s="46">
        <v>2212062</v>
      </c>
      <c r="I66" s="46">
        <v>2576986</v>
      </c>
      <c r="J66">
        <v>-14.16</v>
      </c>
      <c r="K66">
        <v>0</v>
      </c>
    </row>
    <row r="67" spans="1:11" customFormat="1" hidden="1">
      <c r="A67" s="288">
        <v>8111</v>
      </c>
      <c r="B67" s="288" t="s">
        <v>2161</v>
      </c>
      <c r="C67" s="46">
        <v>63849</v>
      </c>
      <c r="D67" s="46">
        <v>53476</v>
      </c>
      <c r="E67" s="46">
        <v>70885</v>
      </c>
      <c r="F67">
        <v>19.39</v>
      </c>
      <c r="G67">
        <v>-9.92</v>
      </c>
      <c r="H67" s="46">
        <v>723995</v>
      </c>
      <c r="I67" s="46">
        <v>867003</v>
      </c>
      <c r="J67">
        <v>-16.489999999999998</v>
      </c>
      <c r="K67">
        <v>0</v>
      </c>
    </row>
    <row r="68" spans="1:11" customFormat="1" hidden="1">
      <c r="A68">
        <v>8109</v>
      </c>
      <c r="B68" t="s">
        <v>2209</v>
      </c>
      <c r="C68" s="46">
        <v>85853</v>
      </c>
      <c r="D68" s="46">
        <v>86735</v>
      </c>
      <c r="E68" s="46">
        <v>64955</v>
      </c>
      <c r="F68">
        <v>-1.01</v>
      </c>
      <c r="G68">
        <v>32.17</v>
      </c>
      <c r="H68" s="46">
        <v>858555</v>
      </c>
      <c r="I68" s="46">
        <v>813676</v>
      </c>
      <c r="J68">
        <v>5.51</v>
      </c>
      <c r="K68">
        <v>1</v>
      </c>
    </row>
    <row r="69" spans="1:11" customFormat="1" hidden="1">
      <c r="A69">
        <v>8107</v>
      </c>
      <c r="B69" t="s">
        <v>510</v>
      </c>
      <c r="C69" s="46">
        <v>63868</v>
      </c>
      <c r="D69" s="46">
        <v>79691</v>
      </c>
      <c r="E69" s="46">
        <v>121662</v>
      </c>
      <c r="F69">
        <v>-19.850000000000001</v>
      </c>
      <c r="G69">
        <v>-47.5</v>
      </c>
      <c r="H69" s="46">
        <v>849784</v>
      </c>
      <c r="I69" s="46">
        <v>2353784</v>
      </c>
      <c r="J69">
        <v>-63.89</v>
      </c>
      <c r="K69">
        <v>0</v>
      </c>
    </row>
    <row r="70" spans="1:11" customFormat="1" hidden="1">
      <c r="A70">
        <v>8099</v>
      </c>
      <c r="B70" t="s">
        <v>2223</v>
      </c>
      <c r="C70" s="46">
        <v>373418</v>
      </c>
      <c r="D70" s="46">
        <v>251034</v>
      </c>
      <c r="E70" s="46">
        <v>299439</v>
      </c>
      <c r="F70">
        <v>48.75</v>
      </c>
      <c r="G70">
        <v>24.7</v>
      </c>
      <c r="H70" s="46">
        <v>3156807</v>
      </c>
      <c r="I70" s="46">
        <v>3076859</v>
      </c>
      <c r="J70">
        <v>2.59</v>
      </c>
      <c r="K70">
        <v>1</v>
      </c>
    </row>
    <row r="71" spans="1:11" customFormat="1" hidden="1">
      <c r="A71">
        <v>8097</v>
      </c>
      <c r="B71" t="s">
        <v>2176</v>
      </c>
      <c r="C71" s="46">
        <v>1022</v>
      </c>
      <c r="D71" s="46">
        <v>3720</v>
      </c>
      <c r="E71" s="46">
        <v>3880</v>
      </c>
      <c r="F71">
        <v>-72.52</v>
      </c>
      <c r="G71">
        <v>-73.650000000000006</v>
      </c>
      <c r="H71" s="46">
        <v>53129</v>
      </c>
      <c r="I71" s="46">
        <v>72551</v>
      </c>
      <c r="J71">
        <v>-26.77</v>
      </c>
      <c r="K71">
        <v>0</v>
      </c>
    </row>
    <row r="72" spans="1:11" customFormat="1" hidden="1">
      <c r="A72">
        <v>8096</v>
      </c>
      <c r="B72" t="s">
        <v>2362</v>
      </c>
      <c r="C72" s="46">
        <v>3510815</v>
      </c>
      <c r="D72" s="46">
        <v>5532942</v>
      </c>
      <c r="E72" s="46">
        <v>1350842</v>
      </c>
      <c r="F72">
        <v>-36.54</v>
      </c>
      <c r="G72">
        <v>159.88999999999999</v>
      </c>
      <c r="H72" s="46">
        <v>37108159</v>
      </c>
      <c r="I72" s="46">
        <v>12931317</v>
      </c>
      <c r="J72">
        <v>186.96</v>
      </c>
      <c r="K72">
        <v>0</v>
      </c>
    </row>
    <row r="73" spans="1:11" customFormat="1" hidden="1">
      <c r="A73" s="288">
        <v>8093</v>
      </c>
      <c r="B73" s="288" t="s">
        <v>2357</v>
      </c>
      <c r="C73" s="46">
        <v>45011</v>
      </c>
      <c r="D73" s="46">
        <v>50395</v>
      </c>
      <c r="E73" s="46">
        <v>62511</v>
      </c>
      <c r="F73">
        <v>-10.68</v>
      </c>
      <c r="G73">
        <v>-27.99</v>
      </c>
      <c r="H73" s="46">
        <v>487912</v>
      </c>
      <c r="I73" s="46">
        <v>723028</v>
      </c>
      <c r="J73">
        <v>-32.51</v>
      </c>
      <c r="K73">
        <v>0</v>
      </c>
    </row>
    <row r="74" spans="1:11" customFormat="1" hidden="1">
      <c r="A74" s="288">
        <v>8092</v>
      </c>
      <c r="B74" s="288" t="s">
        <v>2384</v>
      </c>
      <c r="C74" s="46">
        <v>32219</v>
      </c>
      <c r="D74" s="46">
        <v>33807</v>
      </c>
      <c r="E74" s="46">
        <v>47500</v>
      </c>
      <c r="F74">
        <v>-4.6900000000000004</v>
      </c>
      <c r="G74">
        <v>-32.17</v>
      </c>
      <c r="H74" s="46">
        <v>374098</v>
      </c>
      <c r="I74" s="46">
        <v>388707</v>
      </c>
      <c r="J74">
        <v>-3.75</v>
      </c>
      <c r="K74">
        <v>0</v>
      </c>
    </row>
    <row r="75" spans="1:11" customFormat="1">
      <c r="A75" s="288" t="str">
        <f>HYPERLINK("http://tw.stock.yahoo.com/q/ta?s=6264","6264")</f>
        <v>6264</v>
      </c>
      <c r="B75" s="288" t="str">
        <f>HYPERLINK("http://tw.stock.yahoo.com/d/s/earning_6264.html","富裔")</f>
        <v>富裔</v>
      </c>
      <c r="C75" s="46">
        <v>204146</v>
      </c>
      <c r="D75" s="46">
        <v>4256</v>
      </c>
      <c r="E75" s="46">
        <v>1120</v>
      </c>
      <c r="F75" s="289">
        <v>4696.66</v>
      </c>
      <c r="G75" s="289">
        <v>18127.32</v>
      </c>
      <c r="H75" s="46">
        <v>228902</v>
      </c>
      <c r="I75" s="46">
        <v>97501</v>
      </c>
      <c r="J75">
        <v>134.76</v>
      </c>
      <c r="K75">
        <v>1</v>
      </c>
    </row>
    <row r="76" spans="1:11" customFormat="1" hidden="1">
      <c r="A76">
        <v>8088</v>
      </c>
      <c r="B76" t="s">
        <v>509</v>
      </c>
      <c r="C76" s="46">
        <v>176055</v>
      </c>
      <c r="D76" s="46">
        <v>165809</v>
      </c>
      <c r="E76" s="46">
        <v>238157</v>
      </c>
      <c r="F76">
        <v>6.17</v>
      </c>
      <c r="G76">
        <v>-26.07</v>
      </c>
      <c r="H76" s="46">
        <v>1828549</v>
      </c>
      <c r="I76" s="46">
        <v>2801471</v>
      </c>
      <c r="J76">
        <v>-34.72</v>
      </c>
      <c r="K76">
        <v>1</v>
      </c>
    </row>
    <row r="77" spans="1:11" customFormat="1" hidden="1">
      <c r="A77" s="288">
        <v>8087</v>
      </c>
      <c r="B77" s="288" t="s">
        <v>508</v>
      </c>
      <c r="C77" s="46">
        <v>11799</v>
      </c>
      <c r="D77" s="46">
        <v>10666</v>
      </c>
      <c r="E77" s="46">
        <v>11881</v>
      </c>
      <c r="F77">
        <v>10.62</v>
      </c>
      <c r="G77">
        <v>-0.69</v>
      </c>
      <c r="H77" s="46">
        <v>133098</v>
      </c>
      <c r="I77" s="46">
        <v>137404</v>
      </c>
      <c r="J77">
        <v>-3.13</v>
      </c>
      <c r="K77">
        <v>0</v>
      </c>
    </row>
    <row r="78" spans="1:11" customFormat="1" hidden="1">
      <c r="A78">
        <v>8086</v>
      </c>
      <c r="B78" t="s">
        <v>2298</v>
      </c>
      <c r="C78" s="46">
        <v>379766</v>
      </c>
      <c r="D78" s="46">
        <v>352037</v>
      </c>
      <c r="E78" s="46">
        <v>339851</v>
      </c>
      <c r="F78">
        <v>7.87</v>
      </c>
      <c r="G78">
        <v>11.74</v>
      </c>
      <c r="H78" s="46">
        <v>4043614</v>
      </c>
      <c r="I78" s="46">
        <v>2306569</v>
      </c>
      <c r="J78">
        <v>75.3</v>
      </c>
      <c r="K78">
        <v>0</v>
      </c>
    </row>
    <row r="79" spans="1:11" customFormat="1" hidden="1">
      <c r="A79">
        <v>8085</v>
      </c>
      <c r="B79" t="s">
        <v>507</v>
      </c>
      <c r="C79" s="46">
        <v>149505</v>
      </c>
      <c r="D79" s="46">
        <v>143125</v>
      </c>
      <c r="E79" s="46">
        <v>150753</v>
      </c>
      <c r="F79">
        <v>4.45</v>
      </c>
      <c r="G79">
        <v>-0.82</v>
      </c>
      <c r="H79" s="46">
        <v>1680042</v>
      </c>
      <c r="I79" s="46">
        <v>2007595</v>
      </c>
      <c r="J79">
        <v>-16.309999999999999</v>
      </c>
      <c r="K79">
        <v>0</v>
      </c>
    </row>
    <row r="80" spans="1:11" customFormat="1" hidden="1">
      <c r="A80" s="288">
        <v>8084</v>
      </c>
      <c r="B80" s="288" t="s">
        <v>2221</v>
      </c>
      <c r="C80" s="46">
        <v>200858</v>
      </c>
      <c r="D80" s="46">
        <v>219464</v>
      </c>
      <c r="E80" s="46">
        <v>120712</v>
      </c>
      <c r="F80">
        <v>-8.4700000000000006</v>
      </c>
      <c r="G80">
        <v>66.39</v>
      </c>
      <c r="H80" s="46">
        <v>1949561</v>
      </c>
      <c r="I80" s="46">
        <v>2014864</v>
      </c>
      <c r="J80">
        <v>-3.24</v>
      </c>
      <c r="K80">
        <v>1</v>
      </c>
    </row>
    <row r="81" spans="1:11" customFormat="1" hidden="1">
      <c r="A81">
        <v>8083</v>
      </c>
      <c r="B81" t="s">
        <v>506</v>
      </c>
      <c r="C81" s="46">
        <v>85363</v>
      </c>
      <c r="D81" s="46">
        <v>88918</v>
      </c>
      <c r="E81" s="46">
        <v>93101</v>
      </c>
      <c r="F81">
        <v>-3.99</v>
      </c>
      <c r="G81">
        <v>-8.31</v>
      </c>
      <c r="H81" s="46">
        <v>1166221</v>
      </c>
      <c r="I81" s="46">
        <v>1166223</v>
      </c>
      <c r="J81">
        <v>0</v>
      </c>
      <c r="K81">
        <v>0</v>
      </c>
    </row>
    <row r="82" spans="1:11" customFormat="1" hidden="1">
      <c r="A82">
        <v>8082</v>
      </c>
      <c r="B82" t="s">
        <v>505</v>
      </c>
      <c r="C82" s="46">
        <v>0</v>
      </c>
      <c r="D82" s="46">
        <v>0</v>
      </c>
      <c r="E82" s="46">
        <v>239</v>
      </c>
      <c r="G82" s="289">
        <v>-100</v>
      </c>
      <c r="H82" s="46">
        <v>3738</v>
      </c>
      <c r="I82" s="46">
        <v>17393</v>
      </c>
      <c r="J82" s="289">
        <v>-78.5</v>
      </c>
      <c r="K82">
        <v>0</v>
      </c>
    </row>
    <row r="83" spans="1:11" customFormat="1" hidden="1">
      <c r="A83">
        <v>8080</v>
      </c>
      <c r="B83" t="s">
        <v>504</v>
      </c>
      <c r="C83" s="46">
        <v>35419</v>
      </c>
      <c r="D83" s="46">
        <v>29326</v>
      </c>
      <c r="E83" s="46">
        <v>48646</v>
      </c>
      <c r="F83">
        <v>20.77</v>
      </c>
      <c r="G83">
        <v>-27.19</v>
      </c>
      <c r="H83" s="46">
        <v>424723</v>
      </c>
      <c r="I83" s="46">
        <v>670047</v>
      </c>
      <c r="J83">
        <v>-36.61</v>
      </c>
      <c r="K83">
        <v>0</v>
      </c>
    </row>
    <row r="84" spans="1:11" customFormat="1" hidden="1">
      <c r="A84">
        <v>8079</v>
      </c>
      <c r="B84" t="s">
        <v>2297</v>
      </c>
      <c r="C84" s="46">
        <v>38336</v>
      </c>
      <c r="D84" s="46">
        <v>41790</v>
      </c>
      <c r="E84" s="46">
        <v>35105</v>
      </c>
      <c r="F84">
        <v>-8.26</v>
      </c>
      <c r="G84">
        <v>9.1999999999999993</v>
      </c>
      <c r="H84" s="46">
        <v>451124</v>
      </c>
      <c r="I84" s="46">
        <v>492293</v>
      </c>
      <c r="J84">
        <v>-8.36</v>
      </c>
      <c r="K84">
        <v>0</v>
      </c>
    </row>
    <row r="85" spans="1:11" customFormat="1" hidden="1">
      <c r="A85">
        <v>8077</v>
      </c>
      <c r="B85" t="s">
        <v>2326</v>
      </c>
      <c r="C85" s="46">
        <v>54437</v>
      </c>
      <c r="D85" s="46">
        <v>54597</v>
      </c>
      <c r="E85" s="46">
        <v>4295</v>
      </c>
      <c r="F85">
        <v>-0.28999999999999998</v>
      </c>
      <c r="G85" s="289">
        <v>1167.45</v>
      </c>
      <c r="H85" s="46">
        <v>259399</v>
      </c>
      <c r="I85" s="46">
        <v>39584</v>
      </c>
      <c r="J85">
        <v>555.30999999999995</v>
      </c>
      <c r="K85">
        <v>1</v>
      </c>
    </row>
    <row r="86" spans="1:11" customFormat="1" hidden="1">
      <c r="A86" s="288">
        <v>8076</v>
      </c>
      <c r="B86" s="288" t="s">
        <v>2148</v>
      </c>
      <c r="C86" s="46">
        <v>279714</v>
      </c>
      <c r="D86" s="46">
        <v>253798</v>
      </c>
      <c r="E86" s="46">
        <v>259952</v>
      </c>
      <c r="F86">
        <v>10.210000000000001</v>
      </c>
      <c r="G86">
        <v>7.6</v>
      </c>
      <c r="H86" s="46">
        <v>2541972</v>
      </c>
      <c r="I86" s="46">
        <v>2513539</v>
      </c>
      <c r="J86">
        <v>1.1299999999999999</v>
      </c>
      <c r="K86">
        <v>1</v>
      </c>
    </row>
    <row r="87" spans="1:11" customFormat="1" hidden="1">
      <c r="A87">
        <v>8074</v>
      </c>
      <c r="B87" t="s">
        <v>2208</v>
      </c>
      <c r="C87" s="46">
        <v>100069</v>
      </c>
      <c r="D87" s="46">
        <v>97402</v>
      </c>
      <c r="E87" s="46">
        <v>92873</v>
      </c>
      <c r="F87">
        <v>2.73</v>
      </c>
      <c r="G87">
        <v>7.74</v>
      </c>
      <c r="H87" s="46">
        <v>1081520</v>
      </c>
      <c r="I87" s="46">
        <v>1098736</v>
      </c>
      <c r="J87">
        <v>-1.56</v>
      </c>
      <c r="K87">
        <v>0</v>
      </c>
    </row>
    <row r="88" spans="1:11" customFormat="1" hidden="1">
      <c r="A88">
        <v>8071</v>
      </c>
      <c r="B88" t="s">
        <v>503</v>
      </c>
      <c r="C88" s="46">
        <v>197171</v>
      </c>
      <c r="D88" s="46">
        <v>185186</v>
      </c>
      <c r="E88" s="46">
        <v>150173</v>
      </c>
      <c r="F88">
        <v>6.47</v>
      </c>
      <c r="G88">
        <v>31.29</v>
      </c>
      <c r="H88" s="46">
        <v>2089629</v>
      </c>
      <c r="I88" s="46">
        <v>1832931</v>
      </c>
      <c r="J88">
        <v>14</v>
      </c>
      <c r="K88">
        <v>0</v>
      </c>
    </row>
    <row r="89" spans="1:11" customFormat="1" hidden="1">
      <c r="A89" s="288">
        <v>8069</v>
      </c>
      <c r="B89" s="288" t="s">
        <v>2325</v>
      </c>
      <c r="C89" s="46">
        <v>1011252</v>
      </c>
      <c r="D89" s="46">
        <v>1112588</v>
      </c>
      <c r="E89" s="46">
        <v>1240304</v>
      </c>
      <c r="F89">
        <v>-9.1</v>
      </c>
      <c r="G89">
        <v>-18.46</v>
      </c>
      <c r="H89" s="46">
        <v>12893707</v>
      </c>
      <c r="I89" s="46">
        <v>13410274</v>
      </c>
      <c r="J89">
        <v>-3.85</v>
      </c>
      <c r="K89">
        <v>0</v>
      </c>
    </row>
    <row r="90" spans="1:11" customFormat="1" hidden="1">
      <c r="A90">
        <v>8068</v>
      </c>
      <c r="B90" t="s">
        <v>502</v>
      </c>
      <c r="C90" s="46">
        <v>123966</v>
      </c>
      <c r="D90" s="46">
        <v>115179</v>
      </c>
      <c r="E90" s="46">
        <v>85406</v>
      </c>
      <c r="F90">
        <v>7.62</v>
      </c>
      <c r="G90">
        <v>45.14</v>
      </c>
      <c r="H90" s="46">
        <v>1407052</v>
      </c>
      <c r="I90" s="46">
        <v>1454304</v>
      </c>
      <c r="J90">
        <v>-3.24</v>
      </c>
      <c r="K90">
        <v>0</v>
      </c>
    </row>
    <row r="91" spans="1:11" customFormat="1" hidden="1">
      <c r="A91">
        <v>8067</v>
      </c>
      <c r="B91" t="s">
        <v>2220</v>
      </c>
      <c r="C91" s="46">
        <v>40198</v>
      </c>
      <c r="D91" s="46">
        <v>43904</v>
      </c>
      <c r="E91" s="46">
        <v>51186</v>
      </c>
      <c r="F91">
        <v>-8.44</v>
      </c>
      <c r="G91">
        <v>-21.46</v>
      </c>
      <c r="H91" s="46">
        <v>458241</v>
      </c>
      <c r="I91" s="46">
        <v>640117</v>
      </c>
      <c r="J91">
        <v>-28.41</v>
      </c>
      <c r="K91">
        <v>0</v>
      </c>
    </row>
    <row r="92" spans="1:11" customFormat="1" hidden="1">
      <c r="A92">
        <v>8066</v>
      </c>
      <c r="B92" t="s">
        <v>1788</v>
      </c>
      <c r="C92" s="46">
        <v>647170</v>
      </c>
      <c r="D92" s="46">
        <v>1937922</v>
      </c>
      <c r="E92" s="46">
        <v>582156</v>
      </c>
      <c r="F92">
        <v>-66.599999999999994</v>
      </c>
      <c r="G92">
        <v>11.16</v>
      </c>
      <c r="H92" s="46">
        <v>6996391</v>
      </c>
      <c r="I92" s="46">
        <v>6082551</v>
      </c>
      <c r="J92">
        <v>15.02</v>
      </c>
      <c r="K92">
        <v>0</v>
      </c>
    </row>
    <row r="93" spans="1:11" customFormat="1" hidden="1">
      <c r="A93">
        <v>8064</v>
      </c>
      <c r="B93" t="s">
        <v>501</v>
      </c>
      <c r="C93" s="46">
        <v>312877</v>
      </c>
      <c r="D93" s="46">
        <v>238524</v>
      </c>
      <c r="E93" s="46">
        <v>281664</v>
      </c>
      <c r="F93">
        <v>31.17</v>
      </c>
      <c r="G93">
        <v>11.08</v>
      </c>
      <c r="H93" s="46">
        <v>2764566</v>
      </c>
      <c r="I93" s="46">
        <v>3424876</v>
      </c>
      <c r="J93">
        <v>-19.27</v>
      </c>
      <c r="K93">
        <v>1</v>
      </c>
    </row>
    <row r="94" spans="1:11" customFormat="1" hidden="1">
      <c r="A94">
        <v>8059</v>
      </c>
      <c r="B94" t="s">
        <v>2175</v>
      </c>
      <c r="C94" s="46">
        <v>143440</v>
      </c>
      <c r="D94" s="46">
        <v>42047</v>
      </c>
      <c r="E94" s="46">
        <v>200857</v>
      </c>
      <c r="F94">
        <v>241.14</v>
      </c>
      <c r="G94">
        <v>-28.58</v>
      </c>
      <c r="H94" s="46">
        <v>1682573</v>
      </c>
      <c r="I94" s="46">
        <v>2049061</v>
      </c>
      <c r="J94">
        <v>-17.88</v>
      </c>
      <c r="K94">
        <v>0</v>
      </c>
    </row>
    <row r="95" spans="1:11" customFormat="1" hidden="1">
      <c r="A95" s="288">
        <v>8054</v>
      </c>
      <c r="B95" s="288" t="s">
        <v>500</v>
      </c>
      <c r="C95" s="46">
        <v>194190</v>
      </c>
      <c r="D95" s="46">
        <v>190170</v>
      </c>
      <c r="E95" s="46">
        <v>240347</v>
      </c>
      <c r="F95">
        <v>2.11</v>
      </c>
      <c r="G95">
        <v>-19.2</v>
      </c>
      <c r="H95" s="46">
        <v>2088337</v>
      </c>
      <c r="I95" s="46">
        <v>2494571</v>
      </c>
      <c r="J95">
        <v>-16.28</v>
      </c>
      <c r="K95">
        <v>0</v>
      </c>
    </row>
    <row r="96" spans="1:11" customFormat="1" hidden="1">
      <c r="A96">
        <v>8053</v>
      </c>
      <c r="B96" t="s">
        <v>2160</v>
      </c>
      <c r="C96" s="46">
        <v>257978</v>
      </c>
      <c r="D96" s="46">
        <v>278193</v>
      </c>
      <c r="E96" s="46">
        <v>277691</v>
      </c>
      <c r="F96">
        <v>-7.26</v>
      </c>
      <c r="G96">
        <v>-7.09</v>
      </c>
      <c r="H96" s="46">
        <v>3308781</v>
      </c>
      <c r="I96" s="46">
        <v>3986321</v>
      </c>
      <c r="J96">
        <v>-16.989999999999998</v>
      </c>
      <c r="K96">
        <v>0</v>
      </c>
    </row>
    <row r="97" spans="1:11" customFormat="1" hidden="1">
      <c r="A97">
        <v>8050</v>
      </c>
      <c r="B97" t="s">
        <v>2314</v>
      </c>
      <c r="C97" s="46">
        <v>318584</v>
      </c>
      <c r="D97" s="46">
        <v>312048</v>
      </c>
      <c r="E97" s="46">
        <v>332093</v>
      </c>
      <c r="F97">
        <v>2.09</v>
      </c>
      <c r="G97">
        <v>-4.0599999999999996</v>
      </c>
      <c r="H97" s="46">
        <v>3870659</v>
      </c>
      <c r="I97" s="46">
        <v>3425335</v>
      </c>
      <c r="J97">
        <v>13</v>
      </c>
      <c r="K97">
        <v>0</v>
      </c>
    </row>
    <row r="98" spans="1:11" customFormat="1" hidden="1">
      <c r="A98" s="288">
        <v>8049</v>
      </c>
      <c r="B98" s="288" t="s">
        <v>2159</v>
      </c>
      <c r="C98" s="46">
        <v>125930</v>
      </c>
      <c r="D98" s="46">
        <v>117682</v>
      </c>
      <c r="E98" s="46">
        <v>96364</v>
      </c>
      <c r="F98">
        <v>7</v>
      </c>
      <c r="G98">
        <v>30.68</v>
      </c>
      <c r="H98" s="46">
        <v>1373100</v>
      </c>
      <c r="I98" s="46">
        <v>1226864</v>
      </c>
      <c r="J98">
        <v>11.91</v>
      </c>
      <c r="K98">
        <v>0</v>
      </c>
    </row>
    <row r="99" spans="1:11" customFormat="1" hidden="1">
      <c r="A99">
        <v>8048</v>
      </c>
      <c r="B99" t="s">
        <v>2333</v>
      </c>
      <c r="C99" s="46">
        <v>121420</v>
      </c>
      <c r="D99" s="46">
        <v>105967</v>
      </c>
      <c r="E99" s="46">
        <v>96957</v>
      </c>
      <c r="F99">
        <v>14.58</v>
      </c>
      <c r="G99">
        <v>25.23</v>
      </c>
      <c r="H99" s="46">
        <v>1474549</v>
      </c>
      <c r="I99" s="46">
        <v>958863</v>
      </c>
      <c r="J99">
        <v>53.78</v>
      </c>
      <c r="K99">
        <v>0</v>
      </c>
    </row>
    <row r="100" spans="1:11" customFormat="1" hidden="1">
      <c r="A100">
        <v>8047</v>
      </c>
      <c r="B100" t="s">
        <v>2233</v>
      </c>
      <c r="C100" s="46">
        <v>70814</v>
      </c>
      <c r="D100" s="46">
        <v>63929</v>
      </c>
      <c r="E100" s="46">
        <v>70357</v>
      </c>
      <c r="F100">
        <v>10.76</v>
      </c>
      <c r="G100">
        <v>0.64</v>
      </c>
      <c r="H100" s="46">
        <v>742320</v>
      </c>
      <c r="I100" s="46">
        <v>760934</v>
      </c>
      <c r="J100">
        <v>-2.44</v>
      </c>
      <c r="K100">
        <v>0</v>
      </c>
    </row>
    <row r="101" spans="1:11" customFormat="1" hidden="1">
      <c r="A101">
        <v>8044</v>
      </c>
      <c r="B101" t="s">
        <v>2373</v>
      </c>
      <c r="C101" s="46">
        <v>1983305</v>
      </c>
      <c r="D101" s="46">
        <v>1848570</v>
      </c>
      <c r="E101" s="46">
        <v>1658792</v>
      </c>
      <c r="F101">
        <v>7.28</v>
      </c>
      <c r="G101">
        <v>19.559999999999999</v>
      </c>
      <c r="H101" s="46">
        <v>20748240</v>
      </c>
      <c r="I101" s="46">
        <v>17923905</v>
      </c>
      <c r="J101">
        <v>15.75</v>
      </c>
      <c r="K101">
        <v>1</v>
      </c>
    </row>
    <row r="102" spans="1:11" customFormat="1" hidden="1">
      <c r="A102">
        <v>8043</v>
      </c>
      <c r="B102" t="s">
        <v>2356</v>
      </c>
      <c r="C102" s="46">
        <v>498797</v>
      </c>
      <c r="D102" s="46">
        <v>553616</v>
      </c>
      <c r="E102" s="46">
        <v>459909</v>
      </c>
      <c r="F102">
        <v>-9.9</v>
      </c>
      <c r="G102">
        <v>8.4499999999999993</v>
      </c>
      <c r="H102" s="46">
        <v>4729681</v>
      </c>
      <c r="I102" s="46">
        <v>4128998</v>
      </c>
      <c r="J102">
        <v>14.54</v>
      </c>
      <c r="K102">
        <v>1</v>
      </c>
    </row>
    <row r="103" spans="1:11" customFormat="1" hidden="1">
      <c r="A103">
        <v>8042</v>
      </c>
      <c r="B103" t="s">
        <v>1779</v>
      </c>
      <c r="C103" s="46">
        <v>319586</v>
      </c>
      <c r="D103" s="46">
        <v>280050</v>
      </c>
      <c r="E103" s="46">
        <v>240834</v>
      </c>
      <c r="F103">
        <v>14.11</v>
      </c>
      <c r="G103">
        <v>32.69</v>
      </c>
      <c r="H103" s="46">
        <v>2911202</v>
      </c>
      <c r="I103" s="46">
        <v>2910763</v>
      </c>
      <c r="J103">
        <v>0.01</v>
      </c>
      <c r="K103">
        <v>1</v>
      </c>
    </row>
    <row r="104" spans="1:11" customFormat="1" hidden="1">
      <c r="A104">
        <v>8040</v>
      </c>
      <c r="B104" t="s">
        <v>2140</v>
      </c>
      <c r="C104" s="46">
        <v>67890</v>
      </c>
      <c r="D104" s="46">
        <v>71556</v>
      </c>
      <c r="E104" s="46">
        <v>57639</v>
      </c>
      <c r="F104">
        <v>-5.12</v>
      </c>
      <c r="G104">
        <v>17.78</v>
      </c>
      <c r="H104" s="46">
        <v>651560</v>
      </c>
      <c r="I104" s="46">
        <v>607336</v>
      </c>
      <c r="J104">
        <v>7.28</v>
      </c>
      <c r="K104">
        <v>1</v>
      </c>
    </row>
    <row r="105" spans="1:11" customFormat="1" hidden="1">
      <c r="A105">
        <v>8038</v>
      </c>
      <c r="B105" t="s">
        <v>499</v>
      </c>
      <c r="C105" s="46">
        <v>8658</v>
      </c>
      <c r="D105" s="46">
        <v>4675</v>
      </c>
      <c r="E105" s="46">
        <v>3113</v>
      </c>
      <c r="F105">
        <v>85.19</v>
      </c>
      <c r="G105">
        <v>178.12</v>
      </c>
      <c r="H105" s="46">
        <v>57698</v>
      </c>
      <c r="I105" s="46">
        <v>84891</v>
      </c>
      <c r="J105">
        <v>-32.03</v>
      </c>
      <c r="K105">
        <v>1</v>
      </c>
    </row>
    <row r="106" spans="1:11" customFormat="1" hidden="1">
      <c r="A106" s="288">
        <v>8034</v>
      </c>
      <c r="B106" s="288" t="s">
        <v>2332</v>
      </c>
      <c r="C106" s="46">
        <v>7962</v>
      </c>
      <c r="D106" s="46">
        <v>11558</v>
      </c>
      <c r="E106" s="46">
        <v>21579</v>
      </c>
      <c r="F106" s="289">
        <v>-31.11</v>
      </c>
      <c r="G106">
        <v>-63.1</v>
      </c>
      <c r="H106" s="46">
        <v>170969</v>
      </c>
      <c r="I106" s="46">
        <v>195432</v>
      </c>
      <c r="J106">
        <v>-12.51</v>
      </c>
      <c r="K106">
        <v>0</v>
      </c>
    </row>
    <row r="107" spans="1:11" customFormat="1" hidden="1">
      <c r="A107" s="288">
        <v>8032</v>
      </c>
      <c r="B107" s="288" t="s">
        <v>2219</v>
      </c>
      <c r="C107" s="46">
        <v>391576</v>
      </c>
      <c r="D107" s="46">
        <v>409649</v>
      </c>
      <c r="E107" s="46">
        <v>323354</v>
      </c>
      <c r="F107">
        <v>-4.41</v>
      </c>
      <c r="G107">
        <v>21.09</v>
      </c>
      <c r="H107" s="46">
        <v>3934430</v>
      </c>
      <c r="I107" s="46">
        <v>3993941</v>
      </c>
      <c r="J107">
        <v>-1.49</v>
      </c>
      <c r="K107">
        <v>1</v>
      </c>
    </row>
    <row r="108" spans="1:11" customFormat="1" hidden="1">
      <c r="A108" s="288">
        <v>8027</v>
      </c>
      <c r="B108" s="288" t="s">
        <v>2088</v>
      </c>
      <c r="C108" s="46">
        <v>141934</v>
      </c>
      <c r="D108" s="46">
        <v>74535</v>
      </c>
      <c r="E108" s="46">
        <v>211204</v>
      </c>
      <c r="F108">
        <v>90.42</v>
      </c>
      <c r="G108">
        <v>-32.79</v>
      </c>
      <c r="H108" s="46">
        <v>1420425</v>
      </c>
      <c r="I108" s="46">
        <v>1830616</v>
      </c>
      <c r="J108">
        <v>-22.4</v>
      </c>
      <c r="K108">
        <v>1</v>
      </c>
    </row>
    <row r="109" spans="1:11" customFormat="1" hidden="1">
      <c r="A109">
        <v>8024</v>
      </c>
      <c r="B109" t="s">
        <v>498</v>
      </c>
      <c r="C109" s="46">
        <v>45649</v>
      </c>
      <c r="D109" s="46">
        <v>49202</v>
      </c>
      <c r="E109" s="46">
        <v>60592</v>
      </c>
      <c r="F109">
        <v>-7.22</v>
      </c>
      <c r="G109">
        <v>-24.66</v>
      </c>
      <c r="H109" s="46">
        <v>554258</v>
      </c>
      <c r="I109" s="46">
        <v>648225</v>
      </c>
      <c r="J109">
        <v>-14.49</v>
      </c>
      <c r="K109">
        <v>0</v>
      </c>
    </row>
    <row r="110" spans="1:11" customFormat="1" hidden="1">
      <c r="A110">
        <v>6803</v>
      </c>
      <c r="B110" t="s">
        <v>2398</v>
      </c>
      <c r="C110" s="46">
        <v>348662</v>
      </c>
      <c r="D110" s="46">
        <v>341432</v>
      </c>
      <c r="E110" s="46">
        <v>326601</v>
      </c>
      <c r="F110">
        <v>2.11</v>
      </c>
      <c r="G110">
        <v>6.75</v>
      </c>
      <c r="H110" s="46">
        <v>3748985</v>
      </c>
      <c r="I110" s="46">
        <v>3598099</v>
      </c>
      <c r="J110">
        <v>4.1900000000000004</v>
      </c>
      <c r="K110">
        <v>0</v>
      </c>
    </row>
    <row r="111" spans="1:11" customFormat="1" hidden="1">
      <c r="A111">
        <v>6609</v>
      </c>
      <c r="B111" t="s">
        <v>497</v>
      </c>
      <c r="C111" s="46">
        <v>230427</v>
      </c>
      <c r="D111" s="46">
        <v>245765</v>
      </c>
      <c r="E111" s="46">
        <v>249367</v>
      </c>
      <c r="F111">
        <v>-6.24</v>
      </c>
      <c r="G111">
        <v>-7.59</v>
      </c>
      <c r="H111" s="46">
        <v>2540783</v>
      </c>
      <c r="I111" s="46">
        <v>2946701</v>
      </c>
      <c r="J111">
        <v>-13.77</v>
      </c>
      <c r="K111">
        <v>0</v>
      </c>
    </row>
    <row r="112" spans="1:11" customFormat="1" hidden="1">
      <c r="A112">
        <v>6603</v>
      </c>
      <c r="B112" t="s">
        <v>496</v>
      </c>
      <c r="C112" s="46">
        <v>222600</v>
      </c>
      <c r="D112" s="46">
        <v>245700</v>
      </c>
      <c r="E112" s="46">
        <v>209983</v>
      </c>
      <c r="F112">
        <v>-9.4</v>
      </c>
      <c r="G112">
        <v>6</v>
      </c>
      <c r="H112" s="46">
        <v>2575391</v>
      </c>
      <c r="I112" s="46">
        <v>2668603</v>
      </c>
      <c r="J112">
        <v>-3.49</v>
      </c>
      <c r="K112">
        <v>0</v>
      </c>
    </row>
    <row r="113" spans="1:11" customFormat="1" hidden="1">
      <c r="A113" s="288">
        <v>6509</v>
      </c>
      <c r="B113" s="288" t="s">
        <v>495</v>
      </c>
      <c r="C113" s="46">
        <v>254677</v>
      </c>
      <c r="D113" s="46">
        <v>279294</v>
      </c>
      <c r="E113" s="46">
        <v>274782</v>
      </c>
      <c r="F113">
        <v>-8.81</v>
      </c>
      <c r="G113" s="289">
        <v>-7.31</v>
      </c>
      <c r="H113" s="46">
        <v>2852657</v>
      </c>
      <c r="I113" s="46">
        <v>3074827</v>
      </c>
      <c r="J113" s="289">
        <v>-7.22</v>
      </c>
      <c r="K113">
        <v>0</v>
      </c>
    </row>
    <row r="114" spans="1:11" customFormat="1" hidden="1">
      <c r="A114">
        <v>6508</v>
      </c>
      <c r="B114" t="s">
        <v>494</v>
      </c>
      <c r="C114" s="46">
        <v>126014</v>
      </c>
      <c r="D114" s="46">
        <v>180920</v>
      </c>
      <c r="E114" s="46">
        <v>157235</v>
      </c>
      <c r="F114">
        <v>-30.34</v>
      </c>
      <c r="G114">
        <v>-19.850000000000001</v>
      </c>
      <c r="H114" s="46">
        <v>2198359</v>
      </c>
      <c r="I114" s="46">
        <v>2492522</v>
      </c>
      <c r="J114">
        <v>-11.8</v>
      </c>
      <c r="K114">
        <v>0</v>
      </c>
    </row>
    <row r="115" spans="1:11" customFormat="1" hidden="1">
      <c r="A115">
        <v>6506</v>
      </c>
      <c r="B115" t="s">
        <v>2094</v>
      </c>
      <c r="C115" s="46">
        <v>125489</v>
      </c>
      <c r="D115" s="46">
        <v>135365</v>
      </c>
      <c r="E115" s="46">
        <v>114873</v>
      </c>
      <c r="F115">
        <v>-7.29</v>
      </c>
      <c r="G115">
        <v>9.24</v>
      </c>
      <c r="H115" s="46">
        <v>1795114</v>
      </c>
      <c r="I115" s="46">
        <v>1797938</v>
      </c>
      <c r="J115">
        <v>-0.15</v>
      </c>
      <c r="K115">
        <v>0</v>
      </c>
    </row>
    <row r="116" spans="1:11" customFormat="1" hidden="1">
      <c r="A116">
        <v>6488</v>
      </c>
      <c r="B116" t="s">
        <v>2139</v>
      </c>
      <c r="C116" s="46">
        <v>1175601</v>
      </c>
      <c r="D116" s="46">
        <v>1174036</v>
      </c>
      <c r="E116" s="46">
        <v>1303783</v>
      </c>
      <c r="F116">
        <v>0.13</v>
      </c>
      <c r="G116">
        <v>-9.83</v>
      </c>
      <c r="H116" s="46">
        <v>14141346</v>
      </c>
      <c r="I116" s="46">
        <v>14580962</v>
      </c>
      <c r="J116">
        <v>-3.01</v>
      </c>
      <c r="K116">
        <v>0</v>
      </c>
    </row>
    <row r="117" spans="1:11" customFormat="1" hidden="1">
      <c r="A117">
        <v>6485</v>
      </c>
      <c r="B117" t="s">
        <v>1942</v>
      </c>
      <c r="C117" s="46">
        <v>103023</v>
      </c>
      <c r="D117" s="46">
        <v>105521</v>
      </c>
      <c r="E117" s="46">
        <v>87908</v>
      </c>
      <c r="F117">
        <v>-2.36</v>
      </c>
      <c r="G117">
        <v>17.190000000000001</v>
      </c>
      <c r="H117" s="46">
        <v>1001206</v>
      </c>
      <c r="I117" s="46">
        <v>1299307</v>
      </c>
      <c r="J117">
        <v>-22.94</v>
      </c>
      <c r="K117">
        <v>1</v>
      </c>
    </row>
    <row r="118" spans="1:11" customFormat="1" hidden="1">
      <c r="A118">
        <v>6470</v>
      </c>
      <c r="B118" t="s">
        <v>1919</v>
      </c>
      <c r="C118" s="46">
        <v>156955</v>
      </c>
      <c r="D118" s="46">
        <v>157138</v>
      </c>
      <c r="E118" s="46">
        <v>160302</v>
      </c>
      <c r="F118">
        <v>-0.11</v>
      </c>
      <c r="G118">
        <v>-2.08</v>
      </c>
      <c r="H118" s="46">
        <v>1747487</v>
      </c>
      <c r="I118" s="46">
        <v>1371941</v>
      </c>
      <c r="J118">
        <v>27.37</v>
      </c>
      <c r="K118">
        <v>0</v>
      </c>
    </row>
    <row r="119" spans="1:11" customFormat="1" hidden="1">
      <c r="A119" s="288">
        <v>6465</v>
      </c>
      <c r="B119" s="288" t="s">
        <v>1941</v>
      </c>
      <c r="C119" s="46">
        <v>21183</v>
      </c>
      <c r="D119" s="46">
        <v>36619</v>
      </c>
      <c r="E119" s="46">
        <v>18141</v>
      </c>
      <c r="F119">
        <v>-42.15</v>
      </c>
      <c r="G119">
        <v>16.760000000000002</v>
      </c>
      <c r="H119" s="46">
        <v>271028</v>
      </c>
      <c r="I119" s="46">
        <v>216526</v>
      </c>
      <c r="J119">
        <v>25.17</v>
      </c>
      <c r="K119">
        <v>0</v>
      </c>
    </row>
    <row r="120" spans="1:11" customFormat="1" hidden="1">
      <c r="A120">
        <v>6457</v>
      </c>
      <c r="B120" t="s">
        <v>2296</v>
      </c>
      <c r="C120" s="46">
        <v>48036</v>
      </c>
      <c r="D120" s="46">
        <v>49724</v>
      </c>
      <c r="E120" s="46">
        <v>47064</v>
      </c>
      <c r="F120">
        <v>-3.39</v>
      </c>
      <c r="G120">
        <v>2.06</v>
      </c>
      <c r="H120" s="46">
        <v>499875</v>
      </c>
      <c r="I120" s="46">
        <v>430925</v>
      </c>
      <c r="J120">
        <v>16</v>
      </c>
      <c r="K120">
        <v>1</v>
      </c>
    </row>
    <row r="121" spans="1:11" customFormat="1" hidden="1">
      <c r="A121">
        <v>6432</v>
      </c>
      <c r="B121" t="s">
        <v>2207</v>
      </c>
      <c r="C121" s="46">
        <v>89645</v>
      </c>
      <c r="D121" s="46">
        <v>77573</v>
      </c>
      <c r="E121" s="46">
        <v>71395</v>
      </c>
      <c r="F121">
        <v>15.56</v>
      </c>
      <c r="G121">
        <v>25.56</v>
      </c>
      <c r="H121" s="46">
        <v>897867</v>
      </c>
      <c r="I121" s="46">
        <v>805244</v>
      </c>
      <c r="J121">
        <v>11.5</v>
      </c>
      <c r="K121">
        <v>1</v>
      </c>
    </row>
    <row r="122" spans="1:11" customFormat="1" hidden="1">
      <c r="A122">
        <v>6426</v>
      </c>
      <c r="B122" t="s">
        <v>493</v>
      </c>
      <c r="C122" s="46">
        <v>48310</v>
      </c>
      <c r="D122" s="46">
        <v>40028</v>
      </c>
      <c r="E122" s="46">
        <v>38670</v>
      </c>
      <c r="F122">
        <v>20.69</v>
      </c>
      <c r="G122">
        <v>24.92</v>
      </c>
      <c r="H122" s="46">
        <v>479034</v>
      </c>
      <c r="I122" s="46">
        <v>458471</v>
      </c>
      <c r="J122">
        <v>4.4800000000000004</v>
      </c>
      <c r="K122">
        <v>1</v>
      </c>
    </row>
    <row r="123" spans="1:11" customFormat="1" hidden="1">
      <c r="A123" s="288">
        <v>6419</v>
      </c>
      <c r="B123" s="288" t="s">
        <v>1769</v>
      </c>
      <c r="C123" s="46">
        <v>36456</v>
      </c>
      <c r="D123" s="46">
        <v>43758</v>
      </c>
      <c r="E123" s="46">
        <v>48625</v>
      </c>
      <c r="F123">
        <v>-16.68</v>
      </c>
      <c r="G123">
        <v>-25.02</v>
      </c>
      <c r="H123" s="46">
        <v>389073</v>
      </c>
      <c r="I123" s="46">
        <v>475982</v>
      </c>
      <c r="J123">
        <v>-18.25</v>
      </c>
      <c r="K123">
        <v>0</v>
      </c>
    </row>
    <row r="124" spans="1:11" customFormat="1" hidden="1">
      <c r="A124">
        <v>6417</v>
      </c>
      <c r="B124" t="s">
        <v>538</v>
      </c>
      <c r="C124" s="46">
        <v>75909</v>
      </c>
      <c r="D124" s="46">
        <v>75635</v>
      </c>
      <c r="E124" s="46">
        <v>60995</v>
      </c>
      <c r="F124">
        <v>0.36</v>
      </c>
      <c r="G124">
        <v>24.45</v>
      </c>
      <c r="H124" s="46">
        <v>889968</v>
      </c>
      <c r="I124" s="46">
        <v>653429</v>
      </c>
      <c r="J124">
        <v>36.19</v>
      </c>
      <c r="K124">
        <v>0</v>
      </c>
    </row>
    <row r="125" spans="1:11" customFormat="1" hidden="1">
      <c r="A125">
        <v>6411</v>
      </c>
      <c r="B125" t="s">
        <v>492</v>
      </c>
      <c r="C125" s="46">
        <v>187550</v>
      </c>
      <c r="D125" s="46">
        <v>185125</v>
      </c>
      <c r="E125" s="46">
        <v>138033</v>
      </c>
      <c r="F125">
        <v>1.3</v>
      </c>
      <c r="G125">
        <v>35.869999999999997</v>
      </c>
      <c r="H125" s="46">
        <v>1815562</v>
      </c>
      <c r="I125" s="46">
        <v>1497669</v>
      </c>
      <c r="J125">
        <v>21.22</v>
      </c>
      <c r="K125">
        <v>1</v>
      </c>
    </row>
    <row r="126" spans="1:11" customFormat="1" hidden="1">
      <c r="A126">
        <v>6298</v>
      </c>
      <c r="B126" t="s">
        <v>2313</v>
      </c>
      <c r="C126" s="46">
        <v>480371</v>
      </c>
      <c r="D126" s="46">
        <v>513108</v>
      </c>
      <c r="E126" s="46">
        <v>453066</v>
      </c>
      <c r="F126">
        <v>-6.38</v>
      </c>
      <c r="G126">
        <v>6.02</v>
      </c>
      <c r="H126" s="46">
        <v>4986514</v>
      </c>
      <c r="I126" s="46">
        <v>4937968</v>
      </c>
      <c r="J126">
        <v>0.98</v>
      </c>
      <c r="K126">
        <v>1</v>
      </c>
    </row>
    <row r="127" spans="1:11" customFormat="1" hidden="1">
      <c r="A127">
        <v>6294</v>
      </c>
      <c r="B127" t="s">
        <v>2397</v>
      </c>
      <c r="C127" s="46">
        <v>56731</v>
      </c>
      <c r="D127" s="46">
        <v>53102</v>
      </c>
      <c r="E127" s="46">
        <v>45692</v>
      </c>
      <c r="F127">
        <v>6.83</v>
      </c>
      <c r="G127">
        <v>24.15</v>
      </c>
      <c r="H127" s="46">
        <v>625807</v>
      </c>
      <c r="I127" s="46">
        <v>365968</v>
      </c>
      <c r="J127">
        <v>71</v>
      </c>
      <c r="K127">
        <v>0</v>
      </c>
    </row>
    <row r="128" spans="1:11" customFormat="1" hidden="1">
      <c r="A128">
        <v>6292</v>
      </c>
      <c r="B128" t="s">
        <v>2206</v>
      </c>
      <c r="C128" s="46">
        <v>122783</v>
      </c>
      <c r="D128" s="46">
        <v>120032</v>
      </c>
      <c r="E128" s="46">
        <v>100872</v>
      </c>
      <c r="F128">
        <v>2.29</v>
      </c>
      <c r="G128">
        <v>21.72</v>
      </c>
      <c r="H128" s="46">
        <v>1292510</v>
      </c>
      <c r="I128" s="46">
        <v>1277029</v>
      </c>
      <c r="J128">
        <v>1.21</v>
      </c>
      <c r="K128">
        <v>0</v>
      </c>
    </row>
    <row r="129" spans="1:11" customFormat="1" hidden="1">
      <c r="A129">
        <v>6291</v>
      </c>
      <c r="B129" t="s">
        <v>491</v>
      </c>
      <c r="C129" s="46">
        <v>21002</v>
      </c>
      <c r="D129" s="46">
        <v>19363</v>
      </c>
      <c r="E129" s="46">
        <v>21914</v>
      </c>
      <c r="F129">
        <v>8.4600000000000009</v>
      </c>
      <c r="G129">
        <v>-4.16</v>
      </c>
      <c r="H129" s="46">
        <v>227688</v>
      </c>
      <c r="I129" s="46">
        <v>275692</v>
      </c>
      <c r="J129">
        <v>-17.41</v>
      </c>
      <c r="K129">
        <v>0</v>
      </c>
    </row>
    <row r="130" spans="1:11" customFormat="1" hidden="1">
      <c r="A130">
        <v>6290</v>
      </c>
      <c r="B130" t="s">
        <v>2205</v>
      </c>
      <c r="C130" s="46">
        <v>809015</v>
      </c>
      <c r="D130" s="46">
        <v>754962</v>
      </c>
      <c r="E130" s="46">
        <v>608954</v>
      </c>
      <c r="F130">
        <v>7.15</v>
      </c>
      <c r="G130">
        <v>32.85</v>
      </c>
      <c r="H130" s="46">
        <v>6749554</v>
      </c>
      <c r="I130" s="46">
        <v>6681220</v>
      </c>
      <c r="J130">
        <v>1.02</v>
      </c>
      <c r="K130">
        <v>1</v>
      </c>
    </row>
    <row r="131" spans="1:11" customFormat="1" hidden="1">
      <c r="A131">
        <v>6287</v>
      </c>
      <c r="B131" t="s">
        <v>2138</v>
      </c>
      <c r="C131" s="46">
        <v>88691</v>
      </c>
      <c r="D131" s="46">
        <v>86695</v>
      </c>
      <c r="E131" s="46">
        <v>68419</v>
      </c>
      <c r="F131">
        <v>2.2999999999999998</v>
      </c>
      <c r="G131">
        <v>29.62</v>
      </c>
      <c r="H131" s="46">
        <v>789528</v>
      </c>
      <c r="I131" s="46">
        <v>666556</v>
      </c>
      <c r="J131">
        <v>18.440000000000001</v>
      </c>
      <c r="K131">
        <v>1</v>
      </c>
    </row>
    <row r="132" spans="1:11" customFormat="1" hidden="1">
      <c r="A132" s="288">
        <v>6284</v>
      </c>
      <c r="B132" s="288" t="s">
        <v>2355</v>
      </c>
      <c r="C132" s="46">
        <v>265914</v>
      </c>
      <c r="D132" s="46">
        <v>315787</v>
      </c>
      <c r="E132" s="46">
        <v>310817</v>
      </c>
      <c r="F132">
        <v>-15.79</v>
      </c>
      <c r="G132">
        <v>-14.44</v>
      </c>
      <c r="H132" s="46">
        <v>3122797</v>
      </c>
      <c r="I132" s="46">
        <v>3075345</v>
      </c>
      <c r="J132">
        <v>1.54</v>
      </c>
      <c r="K132">
        <v>0</v>
      </c>
    </row>
    <row r="133" spans="1:11" customFormat="1" hidden="1">
      <c r="A133">
        <v>6279</v>
      </c>
      <c r="B133" t="s">
        <v>1761</v>
      </c>
      <c r="C133" s="46">
        <v>321440</v>
      </c>
      <c r="D133" s="46">
        <v>286142</v>
      </c>
      <c r="E133" s="46">
        <v>304529</v>
      </c>
      <c r="F133">
        <v>12.33</v>
      </c>
      <c r="G133">
        <v>5.55</v>
      </c>
      <c r="H133" s="46">
        <v>3035636</v>
      </c>
      <c r="I133" s="46">
        <v>2899790</v>
      </c>
      <c r="J133">
        <v>4.68</v>
      </c>
      <c r="K133">
        <v>1</v>
      </c>
    </row>
    <row r="134" spans="1:11" customFormat="1" hidden="1">
      <c r="A134">
        <v>6276</v>
      </c>
      <c r="B134" t="s">
        <v>490</v>
      </c>
      <c r="C134" s="46">
        <v>90190</v>
      </c>
      <c r="D134" s="46">
        <v>93350</v>
      </c>
      <c r="E134" s="46">
        <v>97564</v>
      </c>
      <c r="F134">
        <v>-3.38</v>
      </c>
      <c r="G134">
        <v>-7.55</v>
      </c>
      <c r="H134" s="46">
        <v>1186126</v>
      </c>
      <c r="I134" s="46">
        <v>1365937</v>
      </c>
      <c r="J134">
        <v>-13.16</v>
      </c>
      <c r="K134">
        <v>0</v>
      </c>
    </row>
    <row r="135" spans="1:11" customFormat="1" hidden="1">
      <c r="A135">
        <v>6275</v>
      </c>
      <c r="B135" t="s">
        <v>2383</v>
      </c>
      <c r="C135" s="46">
        <v>155982</v>
      </c>
      <c r="D135" s="46">
        <v>130867</v>
      </c>
      <c r="E135" s="46">
        <v>163500</v>
      </c>
      <c r="F135">
        <v>19.190000000000001</v>
      </c>
      <c r="G135">
        <v>-4.59</v>
      </c>
      <c r="H135" s="46">
        <v>1857538</v>
      </c>
      <c r="I135" s="46">
        <v>1991231</v>
      </c>
      <c r="J135">
        <v>-6.71</v>
      </c>
      <c r="K135">
        <v>0</v>
      </c>
    </row>
    <row r="136" spans="1:11" customFormat="1" hidden="1">
      <c r="A136">
        <v>6274</v>
      </c>
      <c r="B136" t="s">
        <v>489</v>
      </c>
      <c r="C136" s="46">
        <v>1073180</v>
      </c>
      <c r="D136" s="46">
        <v>1054928</v>
      </c>
      <c r="E136" s="46">
        <v>1128626</v>
      </c>
      <c r="F136">
        <v>1.73</v>
      </c>
      <c r="G136">
        <v>-4.91</v>
      </c>
      <c r="H136" s="46">
        <v>11804147</v>
      </c>
      <c r="I136" s="46">
        <v>12272885</v>
      </c>
      <c r="J136">
        <v>-3.81</v>
      </c>
      <c r="K136">
        <v>0</v>
      </c>
    </row>
    <row r="137" spans="1:11" customFormat="1" hidden="1">
      <c r="A137">
        <v>6270</v>
      </c>
      <c r="B137" t="s">
        <v>2218</v>
      </c>
      <c r="C137" s="46">
        <v>187804</v>
      </c>
      <c r="D137" s="46">
        <v>202520</v>
      </c>
      <c r="E137" s="46">
        <v>213000</v>
      </c>
      <c r="F137">
        <v>-7.26</v>
      </c>
      <c r="G137">
        <v>-11.82</v>
      </c>
      <c r="H137" s="46">
        <v>2061049</v>
      </c>
      <c r="I137" s="46">
        <v>2155352</v>
      </c>
      <c r="J137">
        <v>-4.37</v>
      </c>
      <c r="K137">
        <v>0</v>
      </c>
    </row>
    <row r="138" spans="1:11" customFormat="1" hidden="1">
      <c r="A138">
        <v>6266</v>
      </c>
      <c r="B138" t="s">
        <v>2204</v>
      </c>
      <c r="C138" s="46">
        <v>229423</v>
      </c>
      <c r="D138" s="46">
        <v>196342</v>
      </c>
      <c r="E138" s="46">
        <v>169246</v>
      </c>
      <c r="F138">
        <v>16.84</v>
      </c>
      <c r="G138">
        <v>35.549999999999997</v>
      </c>
      <c r="H138" s="46">
        <v>1965688</v>
      </c>
      <c r="I138" s="46">
        <v>1790525</v>
      </c>
      <c r="J138">
        <v>9.7799999999999994</v>
      </c>
      <c r="K138">
        <v>1</v>
      </c>
    </row>
    <row r="139" spans="1:11" customFormat="1" hidden="1">
      <c r="A139">
        <v>6265</v>
      </c>
      <c r="B139" t="s">
        <v>488</v>
      </c>
      <c r="C139" s="46">
        <v>663457</v>
      </c>
      <c r="D139" s="46">
        <v>796697</v>
      </c>
      <c r="E139" s="46">
        <v>878080</v>
      </c>
      <c r="F139">
        <v>-16.72</v>
      </c>
      <c r="G139">
        <v>-24.44</v>
      </c>
      <c r="H139" s="46">
        <v>8046324</v>
      </c>
      <c r="I139" s="46">
        <v>11535118</v>
      </c>
      <c r="J139">
        <v>-30.24</v>
      </c>
      <c r="K139">
        <v>0</v>
      </c>
    </row>
    <row r="140" spans="1:11" customFormat="1">
      <c r="A140" s="288" t="str">
        <f>HYPERLINK("http://tw.stock.yahoo.com/q/ta?s=3687","3687")</f>
        <v>3687</v>
      </c>
      <c r="B140" s="288" t="str">
        <f>HYPERLINK("http://tw.stock.yahoo.com/d/s/earning_3687.html","歐買尬")</f>
        <v>歐買尬</v>
      </c>
      <c r="C140" s="46">
        <v>69733</v>
      </c>
      <c r="D140" s="46">
        <v>66204</v>
      </c>
      <c r="E140" s="46">
        <v>34436</v>
      </c>
      <c r="F140">
        <v>5.33</v>
      </c>
      <c r="G140">
        <v>102.5</v>
      </c>
      <c r="H140" s="46">
        <v>680999</v>
      </c>
      <c r="I140" s="46">
        <v>334817</v>
      </c>
      <c r="J140">
        <v>103.39</v>
      </c>
      <c r="K140">
        <v>1</v>
      </c>
    </row>
    <row r="141" spans="1:11" customFormat="1" hidden="1">
      <c r="A141">
        <v>6263</v>
      </c>
      <c r="B141" t="s">
        <v>2174</v>
      </c>
      <c r="C141" s="46">
        <v>107519</v>
      </c>
      <c r="D141" s="46">
        <v>110019</v>
      </c>
      <c r="E141" s="46">
        <v>110198</v>
      </c>
      <c r="F141">
        <v>-2.27</v>
      </c>
      <c r="G141">
        <v>-2.4300000000000002</v>
      </c>
      <c r="H141" s="46">
        <v>1163253</v>
      </c>
      <c r="I141" s="46">
        <v>1143815</v>
      </c>
      <c r="J141">
        <v>1.69</v>
      </c>
      <c r="K141">
        <v>0</v>
      </c>
    </row>
    <row r="142" spans="1:11" customFormat="1" hidden="1">
      <c r="A142">
        <v>6261</v>
      </c>
      <c r="B142" t="s">
        <v>486</v>
      </c>
      <c r="C142" s="46">
        <v>295503</v>
      </c>
      <c r="D142" s="46">
        <v>307626</v>
      </c>
      <c r="E142" s="46">
        <v>308743</v>
      </c>
      <c r="F142">
        <v>-3.94</v>
      </c>
      <c r="G142">
        <v>-4.28</v>
      </c>
      <c r="H142" s="46">
        <v>3412689</v>
      </c>
      <c r="I142" s="46">
        <v>3759442</v>
      </c>
      <c r="J142">
        <v>-9.2200000000000006</v>
      </c>
      <c r="K142">
        <v>0</v>
      </c>
    </row>
    <row r="143" spans="1:11" customFormat="1" hidden="1">
      <c r="A143">
        <v>6259</v>
      </c>
      <c r="B143" t="s">
        <v>485</v>
      </c>
      <c r="C143" s="46">
        <v>62277</v>
      </c>
      <c r="D143" s="46">
        <v>73604</v>
      </c>
      <c r="E143" s="46">
        <v>103236</v>
      </c>
      <c r="F143">
        <v>-15.38</v>
      </c>
      <c r="G143">
        <v>-39.67</v>
      </c>
      <c r="H143" s="46">
        <v>1102061</v>
      </c>
      <c r="I143" s="46">
        <v>1309118</v>
      </c>
      <c r="J143">
        <v>-15.81</v>
      </c>
      <c r="K143">
        <v>0</v>
      </c>
    </row>
    <row r="144" spans="1:11" customFormat="1" hidden="1">
      <c r="A144">
        <v>6250</v>
      </c>
      <c r="B144" t="s">
        <v>484</v>
      </c>
      <c r="C144" s="46">
        <v>1642</v>
      </c>
      <c r="D144" s="46">
        <v>6005</v>
      </c>
      <c r="E144" s="46">
        <v>12468</v>
      </c>
      <c r="F144">
        <v>-72.650000000000006</v>
      </c>
      <c r="G144">
        <v>-86.83</v>
      </c>
      <c r="H144" s="46">
        <v>112765</v>
      </c>
      <c r="I144" s="46">
        <v>223132</v>
      </c>
      <c r="J144">
        <v>-49.46</v>
      </c>
      <c r="K144">
        <v>0</v>
      </c>
    </row>
    <row r="145" spans="1:11" customFormat="1" hidden="1">
      <c r="A145">
        <v>6248</v>
      </c>
      <c r="B145" t="s">
        <v>483</v>
      </c>
      <c r="C145" s="46">
        <v>117080</v>
      </c>
      <c r="D145" s="46">
        <v>131741</v>
      </c>
      <c r="E145" s="46">
        <v>141241</v>
      </c>
      <c r="F145">
        <v>-11.12</v>
      </c>
      <c r="G145">
        <v>-17.100000000000001</v>
      </c>
      <c r="H145" s="46">
        <v>1165749</v>
      </c>
      <c r="I145" s="46">
        <v>897177</v>
      </c>
      <c r="J145">
        <v>29.93</v>
      </c>
      <c r="K145">
        <v>1</v>
      </c>
    </row>
    <row r="146" spans="1:11" customFormat="1" hidden="1">
      <c r="A146" s="288">
        <v>6247</v>
      </c>
      <c r="B146" s="288" t="s">
        <v>1756</v>
      </c>
      <c r="C146" s="46">
        <v>130853</v>
      </c>
      <c r="D146" s="46">
        <v>95713</v>
      </c>
      <c r="E146" s="46">
        <v>125411</v>
      </c>
      <c r="F146">
        <v>36.71</v>
      </c>
      <c r="G146">
        <v>4.33</v>
      </c>
      <c r="H146" s="46">
        <v>1262519</v>
      </c>
      <c r="I146" s="46">
        <v>1080185</v>
      </c>
      <c r="J146">
        <v>16.87</v>
      </c>
      <c r="K146">
        <v>1</v>
      </c>
    </row>
    <row r="147" spans="1:11" customFormat="1" hidden="1">
      <c r="A147">
        <v>6246</v>
      </c>
      <c r="B147" t="s">
        <v>482</v>
      </c>
      <c r="C147" s="46">
        <v>53714</v>
      </c>
      <c r="D147" s="46">
        <v>51392</v>
      </c>
      <c r="E147" s="46">
        <v>76977</v>
      </c>
      <c r="F147">
        <v>4.51</v>
      </c>
      <c r="G147">
        <v>-30.22</v>
      </c>
      <c r="H147" s="46">
        <v>804683</v>
      </c>
      <c r="I147" s="46">
        <v>1532822</v>
      </c>
      <c r="J147">
        <v>-47.5</v>
      </c>
      <c r="K147">
        <v>0</v>
      </c>
    </row>
    <row r="148" spans="1:11" customFormat="1" hidden="1">
      <c r="A148">
        <v>6245</v>
      </c>
      <c r="B148" t="s">
        <v>2173</v>
      </c>
      <c r="C148" s="46">
        <v>513070</v>
      </c>
      <c r="D148" s="46">
        <v>415200</v>
      </c>
      <c r="E148" s="46">
        <v>420676</v>
      </c>
      <c r="F148">
        <v>23.57</v>
      </c>
      <c r="G148" s="289">
        <v>21.96</v>
      </c>
      <c r="H148" s="46">
        <v>4765964</v>
      </c>
      <c r="I148" s="46">
        <v>3948395</v>
      </c>
      <c r="J148" s="289">
        <v>20.7</v>
      </c>
      <c r="K148">
        <v>1</v>
      </c>
    </row>
    <row r="149" spans="1:11" customFormat="1" hidden="1">
      <c r="A149">
        <v>6244</v>
      </c>
      <c r="B149" t="s">
        <v>481</v>
      </c>
      <c r="C149" s="46">
        <v>2805492</v>
      </c>
      <c r="D149" s="46">
        <v>2584126</v>
      </c>
      <c r="E149" s="46">
        <v>1805373</v>
      </c>
      <c r="F149">
        <v>8.56</v>
      </c>
      <c r="G149">
        <v>55.39</v>
      </c>
      <c r="H149" s="46">
        <v>21813016</v>
      </c>
      <c r="I149" s="46">
        <v>18470972</v>
      </c>
      <c r="J149">
        <v>18.09</v>
      </c>
      <c r="K149">
        <v>1</v>
      </c>
    </row>
    <row r="150" spans="1:11" customFormat="1" hidden="1">
      <c r="A150">
        <v>6242</v>
      </c>
      <c r="B150" t="s">
        <v>1754</v>
      </c>
      <c r="C150" s="46">
        <v>42077</v>
      </c>
      <c r="D150" s="46">
        <v>44169</v>
      </c>
      <c r="E150" s="46">
        <v>33729</v>
      </c>
      <c r="F150">
        <v>-4.7300000000000004</v>
      </c>
      <c r="G150">
        <v>24.75</v>
      </c>
      <c r="H150" s="46">
        <v>419248</v>
      </c>
      <c r="I150" s="46">
        <v>220445</v>
      </c>
      <c r="J150">
        <v>90.18</v>
      </c>
      <c r="K150">
        <v>1</v>
      </c>
    </row>
    <row r="151" spans="1:11" customFormat="1" hidden="1">
      <c r="A151">
        <v>6241</v>
      </c>
      <c r="B151" t="s">
        <v>480</v>
      </c>
      <c r="C151" s="46">
        <v>10943</v>
      </c>
      <c r="D151" s="46">
        <v>20873</v>
      </c>
      <c r="E151" s="46">
        <v>5145</v>
      </c>
      <c r="F151" s="289">
        <v>-47.57</v>
      </c>
      <c r="G151">
        <v>112.69</v>
      </c>
      <c r="H151" s="46">
        <v>126436</v>
      </c>
      <c r="I151" s="46">
        <v>517384</v>
      </c>
      <c r="J151">
        <v>-75.56</v>
      </c>
      <c r="K151">
        <v>0</v>
      </c>
    </row>
    <row r="152" spans="1:11" customFormat="1" hidden="1">
      <c r="A152">
        <v>6240</v>
      </c>
      <c r="B152" t="s">
        <v>2372</v>
      </c>
      <c r="C152" s="46">
        <v>17333</v>
      </c>
      <c r="D152" s="46">
        <v>4994</v>
      </c>
      <c r="E152" s="46">
        <v>20218</v>
      </c>
      <c r="F152">
        <v>247.07</v>
      </c>
      <c r="G152">
        <v>-14.26</v>
      </c>
      <c r="H152" s="46">
        <v>195058</v>
      </c>
      <c r="I152" s="46">
        <v>294019</v>
      </c>
      <c r="J152">
        <v>-33.65</v>
      </c>
      <c r="K152">
        <v>0</v>
      </c>
    </row>
    <row r="153" spans="1:11" customFormat="1" hidden="1">
      <c r="A153">
        <v>6238</v>
      </c>
      <c r="B153" t="s">
        <v>2382</v>
      </c>
      <c r="C153" s="46">
        <v>242622</v>
      </c>
      <c r="D153" s="46">
        <v>233662</v>
      </c>
      <c r="E153" s="46">
        <v>111493</v>
      </c>
      <c r="F153">
        <v>3.83</v>
      </c>
      <c r="G153">
        <v>117.61</v>
      </c>
      <c r="H153" s="46">
        <v>2337349</v>
      </c>
      <c r="I153" s="46">
        <v>1088020</v>
      </c>
      <c r="J153">
        <v>114.82</v>
      </c>
      <c r="K153">
        <v>1</v>
      </c>
    </row>
    <row r="154" spans="1:11" customFormat="1" hidden="1">
      <c r="A154">
        <v>6237</v>
      </c>
      <c r="B154" t="s">
        <v>479</v>
      </c>
      <c r="C154" s="46">
        <v>32888</v>
      </c>
      <c r="D154" s="46">
        <v>35556</v>
      </c>
      <c r="E154" s="46">
        <v>31828</v>
      </c>
      <c r="F154">
        <v>-7.5</v>
      </c>
      <c r="G154">
        <v>3.33</v>
      </c>
      <c r="H154" s="46">
        <v>332634</v>
      </c>
      <c r="I154" s="46">
        <v>330079</v>
      </c>
      <c r="J154">
        <v>0.77</v>
      </c>
      <c r="K154">
        <v>1</v>
      </c>
    </row>
    <row r="155" spans="1:11" customFormat="1" hidden="1">
      <c r="A155" s="288">
        <v>6236</v>
      </c>
      <c r="B155" s="288" t="s">
        <v>478</v>
      </c>
      <c r="C155" s="46">
        <v>16465</v>
      </c>
      <c r="D155" s="46">
        <v>11642</v>
      </c>
      <c r="E155" s="46">
        <v>24214</v>
      </c>
      <c r="F155">
        <v>41.42</v>
      </c>
      <c r="G155">
        <v>-32</v>
      </c>
      <c r="H155" s="46">
        <v>127133</v>
      </c>
      <c r="I155" s="46">
        <v>210954</v>
      </c>
      <c r="J155">
        <v>-39.729999999999997</v>
      </c>
      <c r="K155">
        <v>1</v>
      </c>
    </row>
    <row r="156" spans="1:11" customFormat="1" hidden="1">
      <c r="A156" s="288">
        <v>6234</v>
      </c>
      <c r="B156" s="288" t="s">
        <v>477</v>
      </c>
      <c r="C156" s="46">
        <v>80034</v>
      </c>
      <c r="D156" s="46">
        <v>80132</v>
      </c>
      <c r="E156" s="46">
        <v>101813</v>
      </c>
      <c r="F156">
        <v>-0.12</v>
      </c>
      <c r="G156">
        <v>-21.39</v>
      </c>
      <c r="H156" s="46">
        <v>1063810</v>
      </c>
      <c r="I156" s="46">
        <v>824844</v>
      </c>
      <c r="J156">
        <v>28.97</v>
      </c>
      <c r="K156">
        <v>0</v>
      </c>
    </row>
    <row r="157" spans="1:11" customFormat="1" hidden="1">
      <c r="A157" s="288">
        <v>6233</v>
      </c>
      <c r="B157" s="288" t="s">
        <v>2137</v>
      </c>
      <c r="C157" s="46">
        <v>40481</v>
      </c>
      <c r="D157" s="46">
        <v>41969</v>
      </c>
      <c r="E157" s="46">
        <v>25950</v>
      </c>
      <c r="F157">
        <v>-3.54</v>
      </c>
      <c r="G157">
        <v>55.99</v>
      </c>
      <c r="H157" s="46">
        <v>404994</v>
      </c>
      <c r="I157" s="46">
        <v>301791</v>
      </c>
      <c r="J157">
        <v>34.19</v>
      </c>
      <c r="K157">
        <v>1</v>
      </c>
    </row>
    <row r="158" spans="1:11" customFormat="1" hidden="1">
      <c r="A158">
        <v>6231</v>
      </c>
      <c r="B158" t="s">
        <v>476</v>
      </c>
      <c r="C158" s="46">
        <v>54308</v>
      </c>
      <c r="D158" s="46">
        <v>71728</v>
      </c>
      <c r="E158" s="46">
        <v>65993</v>
      </c>
      <c r="F158">
        <v>-24.28</v>
      </c>
      <c r="G158">
        <v>-17.7</v>
      </c>
      <c r="H158" s="46">
        <v>743214</v>
      </c>
      <c r="I158" s="46">
        <v>783223</v>
      </c>
      <c r="J158">
        <v>-5.0999999999999996</v>
      </c>
      <c r="K158">
        <v>0</v>
      </c>
    </row>
    <row r="159" spans="1:11" customFormat="1" hidden="1">
      <c r="A159">
        <v>6229</v>
      </c>
      <c r="B159" t="s">
        <v>475</v>
      </c>
      <c r="C159" s="46">
        <v>90765</v>
      </c>
      <c r="D159" s="46">
        <v>89371</v>
      </c>
      <c r="E159" s="46">
        <v>65968</v>
      </c>
      <c r="F159">
        <v>1.55</v>
      </c>
      <c r="G159">
        <v>37.58</v>
      </c>
      <c r="H159" s="46">
        <v>840455</v>
      </c>
      <c r="I159" s="46">
        <v>838035</v>
      </c>
      <c r="J159" s="289">
        <v>0.28000000000000003</v>
      </c>
      <c r="K159">
        <v>1</v>
      </c>
    </row>
    <row r="160" spans="1:11" customFormat="1" hidden="1">
      <c r="A160" s="288">
        <v>6228</v>
      </c>
      <c r="B160" s="288" t="s">
        <v>2312</v>
      </c>
      <c r="C160" s="46">
        <v>4357</v>
      </c>
      <c r="D160" s="46">
        <v>9749</v>
      </c>
      <c r="E160" s="46">
        <v>21484</v>
      </c>
      <c r="F160">
        <v>-55.3</v>
      </c>
      <c r="G160">
        <v>-79.709999999999994</v>
      </c>
      <c r="H160" s="46">
        <v>93030</v>
      </c>
      <c r="I160" s="46">
        <v>135190</v>
      </c>
      <c r="J160">
        <v>-31.18</v>
      </c>
      <c r="K160">
        <v>0</v>
      </c>
    </row>
    <row r="161" spans="1:11" customFormat="1" hidden="1">
      <c r="A161">
        <v>6227</v>
      </c>
      <c r="B161" t="s">
        <v>474</v>
      </c>
      <c r="C161" s="46">
        <v>667706</v>
      </c>
      <c r="D161" s="46">
        <v>710540</v>
      </c>
      <c r="E161" s="46">
        <v>370282</v>
      </c>
      <c r="F161">
        <v>-6.02</v>
      </c>
      <c r="G161">
        <v>80.319999999999993</v>
      </c>
      <c r="H161" s="46">
        <v>5051428</v>
      </c>
      <c r="I161" s="46">
        <v>4007921</v>
      </c>
      <c r="J161">
        <v>26.03</v>
      </c>
      <c r="K161">
        <v>1</v>
      </c>
    </row>
    <row r="162" spans="1:11" customFormat="1" hidden="1">
      <c r="A162">
        <v>6223</v>
      </c>
      <c r="B162" t="s">
        <v>473</v>
      </c>
      <c r="C162" s="46">
        <v>351931</v>
      </c>
      <c r="D162" s="46">
        <v>319530</v>
      </c>
      <c r="E162" s="46">
        <v>451747</v>
      </c>
      <c r="F162">
        <v>10.14</v>
      </c>
      <c r="G162">
        <v>-22.09</v>
      </c>
      <c r="H162" s="46">
        <v>3681075</v>
      </c>
      <c r="I162" s="46">
        <v>3817206</v>
      </c>
      <c r="J162">
        <v>-3.56</v>
      </c>
      <c r="K162">
        <v>1</v>
      </c>
    </row>
    <row r="163" spans="1:11" customFormat="1" hidden="1">
      <c r="A163">
        <v>6222</v>
      </c>
      <c r="B163" t="s">
        <v>2311</v>
      </c>
      <c r="C163" s="46">
        <v>3150</v>
      </c>
      <c r="D163" s="46">
        <v>3501</v>
      </c>
      <c r="E163" s="46">
        <v>3676</v>
      </c>
      <c r="F163">
        <v>-10.02</v>
      </c>
      <c r="G163">
        <v>-14.3</v>
      </c>
      <c r="H163" s="46">
        <v>69094</v>
      </c>
      <c r="I163" s="46">
        <v>156912</v>
      </c>
      <c r="J163">
        <v>-55.96</v>
      </c>
      <c r="K163">
        <v>0</v>
      </c>
    </row>
    <row r="164" spans="1:11" customFormat="1" hidden="1">
      <c r="A164">
        <v>6221</v>
      </c>
      <c r="B164" t="s">
        <v>472</v>
      </c>
      <c r="C164" s="46">
        <v>221686</v>
      </c>
      <c r="D164" s="46">
        <v>155209</v>
      </c>
      <c r="E164" s="46">
        <v>253345</v>
      </c>
      <c r="F164">
        <v>42.83</v>
      </c>
      <c r="G164">
        <v>-12.49</v>
      </c>
      <c r="H164" s="46">
        <v>1969345</v>
      </c>
      <c r="I164" s="46">
        <v>1774349</v>
      </c>
      <c r="J164">
        <v>10.98</v>
      </c>
      <c r="K164">
        <v>1</v>
      </c>
    </row>
    <row r="165" spans="1:11" customFormat="1" hidden="1">
      <c r="A165">
        <v>6220</v>
      </c>
      <c r="B165" t="s">
        <v>471</v>
      </c>
      <c r="C165" s="46">
        <v>661602</v>
      </c>
      <c r="D165" s="46">
        <v>629855</v>
      </c>
      <c r="E165" s="46">
        <v>645870</v>
      </c>
      <c r="F165">
        <v>5.04</v>
      </c>
      <c r="G165">
        <v>2.4300000000000002</v>
      </c>
      <c r="H165" s="46">
        <v>6293746</v>
      </c>
      <c r="I165" s="46">
        <v>6005768</v>
      </c>
      <c r="J165">
        <v>4.79</v>
      </c>
      <c r="K165">
        <v>1</v>
      </c>
    </row>
    <row r="166" spans="1:11" customFormat="1" hidden="1">
      <c r="A166">
        <v>6219</v>
      </c>
      <c r="B166" t="s">
        <v>2388</v>
      </c>
      <c r="C166" s="46">
        <v>36921</v>
      </c>
      <c r="D166" s="46">
        <v>76020</v>
      </c>
      <c r="E166" s="46">
        <v>18878</v>
      </c>
      <c r="F166">
        <v>-51.43</v>
      </c>
      <c r="G166">
        <v>95.57</v>
      </c>
      <c r="H166" s="46">
        <v>836370</v>
      </c>
      <c r="I166" s="46">
        <v>1068684</v>
      </c>
      <c r="J166">
        <v>-21.73</v>
      </c>
      <c r="K166">
        <v>0</v>
      </c>
    </row>
    <row r="167" spans="1:11" customFormat="1" hidden="1">
      <c r="A167">
        <v>6218</v>
      </c>
      <c r="B167" t="s">
        <v>2172</v>
      </c>
      <c r="C167" s="46">
        <v>79542</v>
      </c>
      <c r="D167" s="46">
        <v>69863</v>
      </c>
      <c r="E167" s="46">
        <v>91020</v>
      </c>
      <c r="F167">
        <v>13.85</v>
      </c>
      <c r="G167">
        <v>-12.61</v>
      </c>
      <c r="H167" s="46">
        <v>911992</v>
      </c>
      <c r="I167" s="46">
        <v>950309</v>
      </c>
      <c r="J167">
        <v>-4.03</v>
      </c>
      <c r="K167">
        <v>0</v>
      </c>
    </row>
    <row r="168" spans="1:11" customFormat="1" hidden="1">
      <c r="A168">
        <v>6217</v>
      </c>
      <c r="B168" t="s">
        <v>2354</v>
      </c>
      <c r="C168" s="46">
        <v>171642</v>
      </c>
      <c r="D168" s="46">
        <v>182608</v>
      </c>
      <c r="E168" s="46">
        <v>139544</v>
      </c>
      <c r="F168">
        <v>-6</v>
      </c>
      <c r="G168">
        <v>23</v>
      </c>
      <c r="H168" s="46">
        <v>1605216</v>
      </c>
      <c r="I168" s="46">
        <v>1288987</v>
      </c>
      <c r="J168">
        <v>24.53</v>
      </c>
      <c r="K168">
        <v>1</v>
      </c>
    </row>
    <row r="169" spans="1:11" customFormat="1" hidden="1">
      <c r="A169">
        <v>6212</v>
      </c>
      <c r="B169" t="s">
        <v>470</v>
      </c>
      <c r="C169" s="46">
        <v>1106793</v>
      </c>
      <c r="D169" s="46">
        <v>524</v>
      </c>
      <c r="E169" s="46">
        <v>0</v>
      </c>
      <c r="F169" s="289">
        <v>211120.03</v>
      </c>
      <c r="H169" s="46">
        <v>2411480</v>
      </c>
      <c r="I169" s="46">
        <v>3133</v>
      </c>
      <c r="J169" s="289">
        <v>76870.31</v>
      </c>
      <c r="K169">
        <v>1</v>
      </c>
    </row>
    <row r="170" spans="1:11" customFormat="1" hidden="1">
      <c r="A170">
        <v>6211</v>
      </c>
      <c r="B170" t="s">
        <v>2203</v>
      </c>
      <c r="C170" s="46">
        <v>32350</v>
      </c>
      <c r="D170" s="46">
        <v>15010</v>
      </c>
      <c r="E170" s="46">
        <v>24398</v>
      </c>
      <c r="F170">
        <v>115.52</v>
      </c>
      <c r="G170">
        <v>32.590000000000003</v>
      </c>
      <c r="H170" s="46">
        <v>275926</v>
      </c>
      <c r="I170" s="46">
        <v>393637</v>
      </c>
      <c r="J170">
        <v>-29.9</v>
      </c>
      <c r="K170">
        <v>1</v>
      </c>
    </row>
    <row r="171" spans="1:11" customFormat="1" hidden="1">
      <c r="A171">
        <v>6210</v>
      </c>
      <c r="B171" t="s">
        <v>2353</v>
      </c>
      <c r="C171" s="46">
        <v>85215</v>
      </c>
      <c r="D171" s="46">
        <v>68792</v>
      </c>
      <c r="E171" s="46">
        <v>99922</v>
      </c>
      <c r="F171">
        <v>23.87</v>
      </c>
      <c r="G171">
        <v>-14.71</v>
      </c>
      <c r="H171" s="46">
        <v>908217</v>
      </c>
      <c r="I171" s="46">
        <v>951953</v>
      </c>
      <c r="J171">
        <v>-4.59</v>
      </c>
      <c r="K171">
        <v>0</v>
      </c>
    </row>
    <row r="172" spans="1:11" customFormat="1" hidden="1">
      <c r="A172">
        <v>6208</v>
      </c>
      <c r="B172" t="s">
        <v>2202</v>
      </c>
      <c r="C172" s="46">
        <v>142725</v>
      </c>
      <c r="D172" s="46">
        <v>117337</v>
      </c>
      <c r="E172" s="46">
        <v>111914</v>
      </c>
      <c r="F172">
        <v>21.63</v>
      </c>
      <c r="G172">
        <v>27.53</v>
      </c>
      <c r="H172" s="46">
        <v>1220403</v>
      </c>
      <c r="I172" s="46">
        <v>1299151</v>
      </c>
      <c r="J172">
        <v>-6.06</v>
      </c>
      <c r="K172">
        <v>1</v>
      </c>
    </row>
    <row r="173" spans="1:11" customFormat="1" hidden="1">
      <c r="A173" s="288">
        <v>6207</v>
      </c>
      <c r="B173" s="288" t="s">
        <v>469</v>
      </c>
      <c r="C173" s="46">
        <v>143095</v>
      </c>
      <c r="D173" s="46">
        <v>151428</v>
      </c>
      <c r="E173" s="46">
        <v>201056</v>
      </c>
      <c r="F173">
        <v>-5.5</v>
      </c>
      <c r="G173">
        <v>-28.82</v>
      </c>
      <c r="H173" s="46">
        <v>1832176</v>
      </c>
      <c r="I173" s="46">
        <v>1657650</v>
      </c>
      <c r="J173">
        <v>10.52</v>
      </c>
      <c r="K173">
        <v>0</v>
      </c>
    </row>
    <row r="174" spans="1:11" customFormat="1" hidden="1">
      <c r="A174">
        <v>6204</v>
      </c>
      <c r="B174" t="s">
        <v>2201</v>
      </c>
      <c r="C174" s="46">
        <v>43044</v>
      </c>
      <c r="D174" s="46">
        <v>41880</v>
      </c>
      <c r="E174" s="46">
        <v>49645</v>
      </c>
      <c r="F174">
        <v>2.77</v>
      </c>
      <c r="G174">
        <v>-13.29</v>
      </c>
      <c r="H174" s="46">
        <v>547748</v>
      </c>
      <c r="I174" s="46">
        <v>595399</v>
      </c>
      <c r="J174">
        <v>-8</v>
      </c>
      <c r="K174">
        <v>0</v>
      </c>
    </row>
    <row r="175" spans="1:11" customFormat="1" hidden="1">
      <c r="A175">
        <v>6203</v>
      </c>
      <c r="B175" t="s">
        <v>468</v>
      </c>
      <c r="C175" s="46">
        <v>188174</v>
      </c>
      <c r="D175" s="46">
        <v>137130</v>
      </c>
      <c r="E175" s="46">
        <v>139447</v>
      </c>
      <c r="F175">
        <v>37.22</v>
      </c>
      <c r="G175">
        <v>34.94</v>
      </c>
      <c r="H175" s="46">
        <v>1580199</v>
      </c>
      <c r="I175" s="46">
        <v>2382015</v>
      </c>
      <c r="J175">
        <v>-33.659999999999997</v>
      </c>
      <c r="K175">
        <v>1</v>
      </c>
    </row>
    <row r="176" spans="1:11" customFormat="1" hidden="1">
      <c r="A176">
        <v>6199</v>
      </c>
      <c r="B176" t="s">
        <v>2412</v>
      </c>
      <c r="C176" s="46">
        <v>8131</v>
      </c>
      <c r="D176" s="46">
        <v>5949</v>
      </c>
      <c r="E176" s="46">
        <v>12374</v>
      </c>
      <c r="F176">
        <v>36.67</v>
      </c>
      <c r="G176">
        <v>-34.28</v>
      </c>
      <c r="H176" s="46">
        <v>63680</v>
      </c>
      <c r="I176" s="46">
        <v>73418</v>
      </c>
      <c r="J176">
        <v>-13.26</v>
      </c>
      <c r="K176">
        <v>1</v>
      </c>
    </row>
    <row r="177" spans="1:11" customFormat="1" hidden="1">
      <c r="A177">
        <v>6198</v>
      </c>
      <c r="B177" t="s">
        <v>2136</v>
      </c>
      <c r="C177" s="46">
        <v>6198</v>
      </c>
      <c r="D177" s="46">
        <v>3534</v>
      </c>
      <c r="E177" s="46">
        <v>7313</v>
      </c>
      <c r="F177">
        <v>75.38</v>
      </c>
      <c r="G177">
        <v>-15.24</v>
      </c>
      <c r="H177" s="46">
        <v>69597</v>
      </c>
      <c r="I177" s="46">
        <v>80318</v>
      </c>
      <c r="J177">
        <v>-13.34</v>
      </c>
      <c r="K177">
        <v>0</v>
      </c>
    </row>
    <row r="178" spans="1:11" customFormat="1" hidden="1">
      <c r="A178">
        <v>6195</v>
      </c>
      <c r="B178" t="s">
        <v>467</v>
      </c>
      <c r="C178" s="46">
        <v>127782</v>
      </c>
      <c r="D178" s="46">
        <v>134326</v>
      </c>
      <c r="E178" s="46">
        <v>129476</v>
      </c>
      <c r="F178">
        <v>-4.87</v>
      </c>
      <c r="G178">
        <v>-1.3</v>
      </c>
      <c r="H178" s="46">
        <v>1428018</v>
      </c>
      <c r="I178" s="46">
        <v>1527319</v>
      </c>
      <c r="J178">
        <v>-6.5</v>
      </c>
      <c r="K178">
        <v>0</v>
      </c>
    </row>
    <row r="179" spans="1:11" customFormat="1" hidden="1">
      <c r="A179">
        <v>6194</v>
      </c>
      <c r="B179" t="s">
        <v>2352</v>
      </c>
      <c r="C179" s="46">
        <v>43020</v>
      </c>
      <c r="D179" s="46">
        <v>42607</v>
      </c>
      <c r="E179" s="46">
        <v>29134</v>
      </c>
      <c r="F179">
        <v>0.96</v>
      </c>
      <c r="G179">
        <v>47.66</v>
      </c>
      <c r="H179" s="46">
        <v>255465</v>
      </c>
      <c r="I179" s="46">
        <v>497610</v>
      </c>
      <c r="J179">
        <v>-48.66</v>
      </c>
      <c r="K179">
        <v>1</v>
      </c>
    </row>
    <row r="180" spans="1:11" customFormat="1" hidden="1">
      <c r="A180">
        <v>6190</v>
      </c>
      <c r="B180" t="s">
        <v>466</v>
      </c>
      <c r="C180" s="46">
        <v>343824</v>
      </c>
      <c r="D180" s="46">
        <v>328849</v>
      </c>
      <c r="E180" s="46">
        <v>358685</v>
      </c>
      <c r="F180">
        <v>4.55</v>
      </c>
      <c r="G180">
        <v>-4.1399999999999997</v>
      </c>
      <c r="H180" s="46">
        <v>3669291</v>
      </c>
      <c r="I180" s="46">
        <v>3916813</v>
      </c>
      <c r="J180">
        <v>-6.31</v>
      </c>
      <c r="K180">
        <v>0</v>
      </c>
    </row>
    <row r="181" spans="1:11" customFormat="1" hidden="1">
      <c r="A181">
        <v>6188</v>
      </c>
      <c r="B181" t="s">
        <v>2310</v>
      </c>
      <c r="C181" s="46">
        <v>900190</v>
      </c>
      <c r="D181" s="46">
        <v>768835</v>
      </c>
      <c r="E181" s="46">
        <v>1145118</v>
      </c>
      <c r="F181">
        <v>17.079999999999998</v>
      </c>
      <c r="G181">
        <v>-21.38</v>
      </c>
      <c r="H181" s="46">
        <v>9766731</v>
      </c>
      <c r="I181" s="46">
        <v>14482953</v>
      </c>
      <c r="J181">
        <v>-32.56</v>
      </c>
      <c r="K181">
        <v>0</v>
      </c>
    </row>
    <row r="182" spans="1:11" customFormat="1" hidden="1">
      <c r="A182">
        <v>6187</v>
      </c>
      <c r="B182" t="s">
        <v>2232</v>
      </c>
      <c r="C182" s="46">
        <v>95232</v>
      </c>
      <c r="D182" s="46">
        <v>94732</v>
      </c>
      <c r="E182" s="46">
        <v>130290</v>
      </c>
      <c r="F182">
        <v>0.52</v>
      </c>
      <c r="G182">
        <v>-26.9</v>
      </c>
      <c r="H182" s="46">
        <v>1418906</v>
      </c>
      <c r="I182" s="46">
        <v>1395699</v>
      </c>
      <c r="J182">
        <v>1.66</v>
      </c>
      <c r="K182">
        <v>0</v>
      </c>
    </row>
    <row r="183" spans="1:11" customFormat="1" hidden="1">
      <c r="A183">
        <v>6186</v>
      </c>
      <c r="B183" t="s">
        <v>465</v>
      </c>
      <c r="C183" s="46">
        <v>0</v>
      </c>
      <c r="D183" s="46">
        <v>0</v>
      </c>
      <c r="E183" s="46">
        <v>0</v>
      </c>
      <c r="H183" s="46">
        <v>486371</v>
      </c>
      <c r="I183" s="46">
        <v>509774</v>
      </c>
      <c r="J183">
        <v>-4.59</v>
      </c>
      <c r="K183">
        <v>0</v>
      </c>
    </row>
    <row r="184" spans="1:11" customFormat="1" hidden="1">
      <c r="A184">
        <v>6185</v>
      </c>
      <c r="B184" t="s">
        <v>2200</v>
      </c>
      <c r="C184" s="46">
        <v>153045</v>
      </c>
      <c r="D184" s="46">
        <v>133060</v>
      </c>
      <c r="E184" s="46">
        <v>134534</v>
      </c>
      <c r="F184">
        <v>15.01</v>
      </c>
      <c r="G184">
        <v>13.75</v>
      </c>
      <c r="H184" s="46">
        <v>1353491</v>
      </c>
      <c r="I184" s="46">
        <v>1510133</v>
      </c>
      <c r="J184">
        <v>-10.37</v>
      </c>
      <c r="K184">
        <v>1</v>
      </c>
    </row>
    <row r="185" spans="1:11" customFormat="1" hidden="1">
      <c r="A185">
        <v>6182</v>
      </c>
      <c r="B185" t="s">
        <v>464</v>
      </c>
      <c r="C185" s="46">
        <v>435396</v>
      </c>
      <c r="D185" s="46">
        <v>398304</v>
      </c>
      <c r="E185" s="46">
        <v>388821</v>
      </c>
      <c r="F185">
        <v>9.31</v>
      </c>
      <c r="G185">
        <v>11.97</v>
      </c>
      <c r="H185" s="46">
        <v>4901339</v>
      </c>
      <c r="I185" s="46">
        <v>5412199</v>
      </c>
      <c r="J185">
        <v>-9.43</v>
      </c>
      <c r="K185">
        <v>0</v>
      </c>
    </row>
    <row r="186" spans="1:11" customFormat="1" hidden="1">
      <c r="A186">
        <v>6180</v>
      </c>
      <c r="B186" t="s">
        <v>2262</v>
      </c>
      <c r="C186" s="46">
        <v>893478</v>
      </c>
      <c r="D186" s="46">
        <v>792504</v>
      </c>
      <c r="E186" s="46">
        <v>843791</v>
      </c>
      <c r="F186">
        <v>12.74</v>
      </c>
      <c r="G186">
        <v>5.88</v>
      </c>
      <c r="H186" s="46">
        <v>8848309</v>
      </c>
      <c r="I186" s="46">
        <v>8256903</v>
      </c>
      <c r="J186">
        <v>7.16</v>
      </c>
      <c r="K186">
        <v>1</v>
      </c>
    </row>
    <row r="187" spans="1:11" customFormat="1" hidden="1">
      <c r="A187">
        <v>6179</v>
      </c>
      <c r="B187" t="s">
        <v>463</v>
      </c>
      <c r="C187" s="46">
        <v>73093</v>
      </c>
      <c r="D187" s="46">
        <v>100403</v>
      </c>
      <c r="E187" s="46">
        <v>105412</v>
      </c>
      <c r="F187">
        <v>-27.2</v>
      </c>
      <c r="G187">
        <v>-30.65</v>
      </c>
      <c r="H187" s="46">
        <v>1277351</v>
      </c>
      <c r="I187" s="46">
        <v>537289</v>
      </c>
      <c r="J187">
        <v>137.74</v>
      </c>
      <c r="K187">
        <v>0</v>
      </c>
    </row>
    <row r="188" spans="1:11" customFormat="1" hidden="1">
      <c r="A188" s="288">
        <v>6175</v>
      </c>
      <c r="B188" s="288" t="s">
        <v>462</v>
      </c>
      <c r="C188" s="46">
        <v>146910</v>
      </c>
      <c r="D188" s="46">
        <v>133875</v>
      </c>
      <c r="E188" s="46">
        <v>141134</v>
      </c>
      <c r="F188">
        <v>9.73</v>
      </c>
      <c r="G188">
        <v>4.09</v>
      </c>
      <c r="H188" s="46">
        <v>1785601</v>
      </c>
      <c r="I188" s="46">
        <v>1721131</v>
      </c>
      <c r="J188">
        <v>3.74</v>
      </c>
      <c r="K188">
        <v>0</v>
      </c>
    </row>
    <row r="189" spans="1:11" customFormat="1" hidden="1">
      <c r="A189">
        <v>6174</v>
      </c>
      <c r="B189" t="s">
        <v>2199</v>
      </c>
      <c r="C189" s="46">
        <v>44393</v>
      </c>
      <c r="D189" s="46">
        <v>41962</v>
      </c>
      <c r="E189" s="46">
        <v>44104</v>
      </c>
      <c r="F189">
        <v>5.79</v>
      </c>
      <c r="G189">
        <v>0.65</v>
      </c>
      <c r="H189" s="46">
        <v>498113</v>
      </c>
      <c r="I189" s="46">
        <v>536388</v>
      </c>
      <c r="J189">
        <v>-7.13</v>
      </c>
      <c r="K189">
        <v>0</v>
      </c>
    </row>
    <row r="190" spans="1:11" customFormat="1" hidden="1">
      <c r="A190">
        <v>6173</v>
      </c>
      <c r="B190" t="s">
        <v>2198</v>
      </c>
      <c r="C190" s="46">
        <v>206927</v>
      </c>
      <c r="D190" s="46">
        <v>204220</v>
      </c>
      <c r="E190" s="46">
        <v>216344</v>
      </c>
      <c r="F190">
        <v>1.32</v>
      </c>
      <c r="G190">
        <v>-4.3499999999999996</v>
      </c>
      <c r="H190" s="46">
        <v>2193690</v>
      </c>
      <c r="I190" s="46">
        <v>2309197</v>
      </c>
      <c r="J190">
        <v>-5</v>
      </c>
      <c r="K190">
        <v>0</v>
      </c>
    </row>
    <row r="191" spans="1:11" customFormat="1" hidden="1">
      <c r="A191">
        <v>6171</v>
      </c>
      <c r="B191" t="s">
        <v>461</v>
      </c>
      <c r="C191" s="46">
        <v>14</v>
      </c>
      <c r="D191" s="46">
        <v>14</v>
      </c>
      <c r="E191" s="46">
        <v>14</v>
      </c>
      <c r="F191">
        <v>0</v>
      </c>
      <c r="G191">
        <v>0</v>
      </c>
      <c r="H191" s="46">
        <v>80265</v>
      </c>
      <c r="I191" s="46">
        <v>100</v>
      </c>
      <c r="J191" s="289">
        <v>80165</v>
      </c>
      <c r="K191">
        <v>0</v>
      </c>
    </row>
    <row r="192" spans="1:11" customFormat="1" hidden="1">
      <c r="A192">
        <v>6170</v>
      </c>
      <c r="B192" t="s">
        <v>460</v>
      </c>
      <c r="C192" s="46">
        <v>304578</v>
      </c>
      <c r="D192" s="46">
        <v>275521</v>
      </c>
      <c r="E192" s="46">
        <v>279827</v>
      </c>
      <c r="F192">
        <v>10.54</v>
      </c>
      <c r="G192">
        <v>8.84</v>
      </c>
      <c r="H192" s="46">
        <v>3319219</v>
      </c>
      <c r="I192" s="46">
        <v>4114878</v>
      </c>
      <c r="J192">
        <v>-19.329999999999998</v>
      </c>
      <c r="K192">
        <v>0</v>
      </c>
    </row>
    <row r="193" spans="1:11" customFormat="1" hidden="1">
      <c r="A193">
        <v>6169</v>
      </c>
      <c r="B193" t="s">
        <v>2409</v>
      </c>
      <c r="C193" s="46">
        <v>15188</v>
      </c>
      <c r="D193" s="46">
        <v>12571</v>
      </c>
      <c r="E193" s="46">
        <v>14374</v>
      </c>
      <c r="F193">
        <v>20.81</v>
      </c>
      <c r="G193">
        <v>5.66</v>
      </c>
      <c r="H193" s="46">
        <v>162962</v>
      </c>
      <c r="I193" s="46">
        <v>208714</v>
      </c>
      <c r="J193">
        <v>-21.92</v>
      </c>
      <c r="K193">
        <v>0</v>
      </c>
    </row>
    <row r="194" spans="1:11" customFormat="1" hidden="1">
      <c r="A194">
        <v>6167</v>
      </c>
      <c r="B194" t="s">
        <v>2158</v>
      </c>
      <c r="C194" s="46">
        <v>176475</v>
      </c>
      <c r="D194" s="46">
        <v>146126</v>
      </c>
      <c r="E194" s="46">
        <v>181548</v>
      </c>
      <c r="F194">
        <v>20.76</v>
      </c>
      <c r="G194">
        <v>-2.79</v>
      </c>
      <c r="H194" s="46">
        <v>1727334</v>
      </c>
      <c r="I194" s="46">
        <v>1936920</v>
      </c>
      <c r="J194">
        <v>-10.82</v>
      </c>
      <c r="K194">
        <v>1</v>
      </c>
    </row>
    <row r="195" spans="1:11" customFormat="1" hidden="1">
      <c r="A195">
        <v>6163</v>
      </c>
      <c r="B195" t="s">
        <v>459</v>
      </c>
      <c r="C195" s="46">
        <v>158525</v>
      </c>
      <c r="D195" s="46">
        <v>155621</v>
      </c>
      <c r="E195" s="46">
        <v>306211</v>
      </c>
      <c r="F195">
        <v>1.86</v>
      </c>
      <c r="G195">
        <v>-48.23</v>
      </c>
      <c r="H195" s="46">
        <v>2735047</v>
      </c>
      <c r="I195" s="46">
        <v>2864685</v>
      </c>
      <c r="J195">
        <v>-4.5199999999999996</v>
      </c>
      <c r="K195">
        <v>0</v>
      </c>
    </row>
    <row r="196" spans="1:11" customFormat="1" hidden="1">
      <c r="A196">
        <v>6161</v>
      </c>
      <c r="B196" t="s">
        <v>458</v>
      </c>
      <c r="C196" s="46">
        <v>143911</v>
      </c>
      <c r="D196" s="46">
        <v>195715</v>
      </c>
      <c r="E196" s="46">
        <v>323485</v>
      </c>
      <c r="F196">
        <v>-26.46</v>
      </c>
      <c r="G196">
        <v>-55.51</v>
      </c>
      <c r="H196" s="46">
        <v>2562509</v>
      </c>
      <c r="I196" s="46">
        <v>3906344</v>
      </c>
      <c r="J196">
        <v>-34.4</v>
      </c>
      <c r="K196">
        <v>0</v>
      </c>
    </row>
    <row r="197" spans="1:11" customFormat="1" hidden="1">
      <c r="A197">
        <v>6160</v>
      </c>
      <c r="B197" t="s">
        <v>2309</v>
      </c>
      <c r="C197" s="46">
        <v>144725</v>
      </c>
      <c r="D197" s="46">
        <v>102479</v>
      </c>
      <c r="E197" s="46">
        <v>133284</v>
      </c>
      <c r="F197">
        <v>41.22</v>
      </c>
      <c r="G197">
        <v>8.58</v>
      </c>
      <c r="H197" s="46">
        <v>998295</v>
      </c>
      <c r="I197" s="46">
        <v>1250182</v>
      </c>
      <c r="J197">
        <v>-20.14</v>
      </c>
      <c r="K197">
        <v>1</v>
      </c>
    </row>
    <row r="198" spans="1:11" customFormat="1" hidden="1">
      <c r="A198">
        <v>6158</v>
      </c>
      <c r="B198" t="s">
        <v>457</v>
      </c>
      <c r="C198" s="46">
        <v>191656</v>
      </c>
      <c r="D198" s="46">
        <v>179233</v>
      </c>
      <c r="E198" s="46">
        <v>206496</v>
      </c>
      <c r="F198">
        <v>6.93</v>
      </c>
      <c r="G198">
        <v>-7.18</v>
      </c>
      <c r="H198" s="46">
        <v>2046406</v>
      </c>
      <c r="I198" s="46">
        <v>2704736</v>
      </c>
      <c r="J198">
        <v>-24.33</v>
      </c>
      <c r="K198">
        <v>0</v>
      </c>
    </row>
    <row r="199" spans="1:11" customFormat="1" hidden="1">
      <c r="A199">
        <v>6156</v>
      </c>
      <c r="B199" t="s">
        <v>2351</v>
      </c>
      <c r="C199" s="46">
        <v>318462</v>
      </c>
      <c r="D199" s="46">
        <v>268300</v>
      </c>
      <c r="E199" s="46">
        <v>393020</v>
      </c>
      <c r="F199">
        <v>18.690000000000001</v>
      </c>
      <c r="G199">
        <v>-18.97</v>
      </c>
      <c r="H199" s="46">
        <v>3668737</v>
      </c>
      <c r="I199" s="46">
        <v>3494164</v>
      </c>
      <c r="J199">
        <v>4.99</v>
      </c>
      <c r="K199">
        <v>0</v>
      </c>
    </row>
    <row r="200" spans="1:11" customFormat="1" hidden="1">
      <c r="A200" s="288">
        <v>6154</v>
      </c>
      <c r="B200" s="288" t="s">
        <v>456</v>
      </c>
      <c r="C200" s="46">
        <v>364483</v>
      </c>
      <c r="D200" s="46">
        <v>398294</v>
      </c>
      <c r="E200" s="46">
        <v>396333</v>
      </c>
      <c r="F200">
        <v>-8.48</v>
      </c>
      <c r="G200">
        <v>-8.0299999999999994</v>
      </c>
      <c r="H200" s="46">
        <v>4775584</v>
      </c>
      <c r="I200" s="46">
        <v>4995435</v>
      </c>
      <c r="J200">
        <v>-4.4000000000000004</v>
      </c>
      <c r="K200">
        <v>0</v>
      </c>
    </row>
    <row r="201" spans="1:11" customFormat="1" hidden="1">
      <c r="A201">
        <v>6151</v>
      </c>
      <c r="B201" t="s">
        <v>2231</v>
      </c>
      <c r="C201" s="46">
        <v>144920</v>
      </c>
      <c r="D201" s="46">
        <v>145433</v>
      </c>
      <c r="E201" s="46">
        <v>167428</v>
      </c>
      <c r="F201">
        <v>-0.35</v>
      </c>
      <c r="G201">
        <v>-13.44</v>
      </c>
      <c r="H201" s="46">
        <v>1773430</v>
      </c>
      <c r="I201" s="46">
        <v>1866629</v>
      </c>
      <c r="J201">
        <v>-4.99</v>
      </c>
      <c r="K201">
        <v>0</v>
      </c>
    </row>
    <row r="202" spans="1:11" customFormat="1" hidden="1">
      <c r="A202">
        <v>6150</v>
      </c>
      <c r="B202" t="s">
        <v>2308</v>
      </c>
      <c r="C202" s="46">
        <v>149735</v>
      </c>
      <c r="D202" s="46">
        <v>141955</v>
      </c>
      <c r="E202" s="46">
        <v>278313</v>
      </c>
      <c r="F202">
        <v>5.48</v>
      </c>
      <c r="G202">
        <v>-46.19</v>
      </c>
      <c r="H202" s="46">
        <v>2272239</v>
      </c>
      <c r="I202" s="46">
        <v>3537005</v>
      </c>
      <c r="J202">
        <v>-35.75</v>
      </c>
      <c r="K202">
        <v>0</v>
      </c>
    </row>
    <row r="203" spans="1:11" customFormat="1" hidden="1">
      <c r="A203">
        <v>6148</v>
      </c>
      <c r="B203" t="s">
        <v>1727</v>
      </c>
      <c r="C203" s="46">
        <v>493188</v>
      </c>
      <c r="D203" s="46">
        <v>497220</v>
      </c>
      <c r="E203" s="46">
        <v>408946</v>
      </c>
      <c r="F203">
        <v>-0.81</v>
      </c>
      <c r="G203">
        <v>20.59</v>
      </c>
      <c r="H203" s="46">
        <v>4635059</v>
      </c>
      <c r="I203" s="46">
        <v>4606737</v>
      </c>
      <c r="J203">
        <v>0.61</v>
      </c>
      <c r="K203">
        <v>1</v>
      </c>
    </row>
    <row r="204" spans="1:11" customFormat="1" hidden="1">
      <c r="A204">
        <v>6147</v>
      </c>
      <c r="B204" t="s">
        <v>2295</v>
      </c>
      <c r="C204" s="46">
        <v>1387896</v>
      </c>
      <c r="D204" s="46">
        <v>1417792</v>
      </c>
      <c r="E204" s="46">
        <v>1487792</v>
      </c>
      <c r="F204">
        <v>-2.1</v>
      </c>
      <c r="G204">
        <v>-6.71</v>
      </c>
      <c r="H204" s="46">
        <v>15727785</v>
      </c>
      <c r="I204" s="46">
        <v>16216649</v>
      </c>
      <c r="J204">
        <v>-3.01</v>
      </c>
      <c r="K204">
        <v>0</v>
      </c>
    </row>
    <row r="205" spans="1:11" customFormat="1" hidden="1">
      <c r="A205">
        <v>6146</v>
      </c>
      <c r="B205" t="s">
        <v>455</v>
      </c>
      <c r="C205" s="46">
        <v>240105</v>
      </c>
      <c r="D205" s="46">
        <v>260310</v>
      </c>
      <c r="E205" s="46">
        <v>250109</v>
      </c>
      <c r="F205">
        <v>-7.76</v>
      </c>
      <c r="G205">
        <v>-3.99</v>
      </c>
      <c r="H205" s="46">
        <v>2916367</v>
      </c>
      <c r="I205" s="46">
        <v>2681209</v>
      </c>
      <c r="J205">
        <v>8.77</v>
      </c>
      <c r="K205">
        <v>0</v>
      </c>
    </row>
    <row r="206" spans="1:11" customFormat="1" hidden="1">
      <c r="A206">
        <v>6144</v>
      </c>
      <c r="B206" t="s">
        <v>2261</v>
      </c>
      <c r="C206" s="46">
        <v>62108</v>
      </c>
      <c r="D206" s="46">
        <v>62205</v>
      </c>
      <c r="E206" s="46">
        <v>65324</v>
      </c>
      <c r="F206">
        <v>-0.15</v>
      </c>
      <c r="G206">
        <v>-4.92</v>
      </c>
      <c r="H206" s="46">
        <v>707459</v>
      </c>
      <c r="I206" s="46">
        <v>721422</v>
      </c>
      <c r="J206">
        <v>-1.93</v>
      </c>
      <c r="K206">
        <v>0</v>
      </c>
    </row>
    <row r="207" spans="1:11" customFormat="1" hidden="1">
      <c r="A207">
        <v>6143</v>
      </c>
      <c r="B207" t="s">
        <v>2171</v>
      </c>
      <c r="C207" s="46">
        <v>753428</v>
      </c>
      <c r="D207" s="46">
        <v>635998</v>
      </c>
      <c r="E207" s="46">
        <v>654377</v>
      </c>
      <c r="F207">
        <v>18.46</v>
      </c>
      <c r="G207">
        <v>15.13</v>
      </c>
      <c r="H207" s="46">
        <v>4555243</v>
      </c>
      <c r="I207" s="46">
        <v>4443636</v>
      </c>
      <c r="J207">
        <v>2.5099999999999998</v>
      </c>
      <c r="K207">
        <v>1</v>
      </c>
    </row>
    <row r="208" spans="1:11" customFormat="1" hidden="1">
      <c r="A208">
        <v>6140</v>
      </c>
      <c r="B208" t="s">
        <v>2371</v>
      </c>
      <c r="C208" s="46">
        <v>125952</v>
      </c>
      <c r="D208" s="46">
        <v>96010</v>
      </c>
      <c r="E208" s="46">
        <v>121919</v>
      </c>
      <c r="F208">
        <v>31.18</v>
      </c>
      <c r="G208">
        <v>3.3</v>
      </c>
      <c r="H208" s="46">
        <v>1239514</v>
      </c>
      <c r="I208" s="46">
        <v>1182272</v>
      </c>
      <c r="J208">
        <v>4.84</v>
      </c>
      <c r="K208">
        <v>1</v>
      </c>
    </row>
    <row r="209" spans="1:11" customFormat="1" hidden="1">
      <c r="A209">
        <v>6138</v>
      </c>
      <c r="B209" t="s">
        <v>2135</v>
      </c>
      <c r="C209" s="46">
        <v>320677</v>
      </c>
      <c r="D209" s="46">
        <v>310033</v>
      </c>
      <c r="E209" s="46">
        <v>249500</v>
      </c>
      <c r="F209">
        <v>3.43</v>
      </c>
      <c r="G209">
        <v>28.52</v>
      </c>
      <c r="H209" s="46">
        <v>2774621</v>
      </c>
      <c r="I209" s="46">
        <v>3245739</v>
      </c>
      <c r="J209">
        <v>-14.51</v>
      </c>
      <c r="K209">
        <v>1</v>
      </c>
    </row>
    <row r="210" spans="1:11" customFormat="1" hidden="1">
      <c r="A210">
        <v>6135</v>
      </c>
      <c r="B210" t="s">
        <v>2217</v>
      </c>
      <c r="C210" s="46">
        <v>5823</v>
      </c>
      <c r="D210" s="46">
        <v>2154</v>
      </c>
      <c r="E210" s="46">
        <v>406511</v>
      </c>
      <c r="F210">
        <v>170.33</v>
      </c>
      <c r="G210">
        <v>-98.56</v>
      </c>
      <c r="H210" s="46">
        <v>3740814</v>
      </c>
      <c r="I210" s="46">
        <v>5120996</v>
      </c>
      <c r="J210">
        <v>-26.95</v>
      </c>
      <c r="K210">
        <v>0</v>
      </c>
    </row>
    <row r="211" spans="1:11" customFormat="1" hidden="1">
      <c r="A211" s="288">
        <v>6134</v>
      </c>
      <c r="B211" s="288" t="s">
        <v>2197</v>
      </c>
      <c r="C211" s="46">
        <v>133879</v>
      </c>
      <c r="D211" s="46">
        <v>134110</v>
      </c>
      <c r="E211" s="46">
        <v>148385</v>
      </c>
      <c r="F211">
        <v>-0.17</v>
      </c>
      <c r="G211">
        <v>-9.77</v>
      </c>
      <c r="H211" s="46">
        <v>1494260</v>
      </c>
      <c r="I211" s="46">
        <v>1755612</v>
      </c>
      <c r="J211">
        <v>-14.88</v>
      </c>
      <c r="K211">
        <v>0</v>
      </c>
    </row>
    <row r="212" spans="1:11" customFormat="1" hidden="1">
      <c r="A212" s="288">
        <v>6130</v>
      </c>
      <c r="B212" s="288" t="s">
        <v>454</v>
      </c>
      <c r="C212" s="46">
        <v>18836</v>
      </c>
      <c r="D212" s="46">
        <v>20602</v>
      </c>
      <c r="E212" s="46">
        <v>24131</v>
      </c>
      <c r="F212">
        <v>-8.57</v>
      </c>
      <c r="G212">
        <v>-21.94</v>
      </c>
      <c r="H212" s="46">
        <v>224773</v>
      </c>
      <c r="I212" s="46">
        <v>281676</v>
      </c>
      <c r="J212">
        <v>-20.2</v>
      </c>
      <c r="K212">
        <v>0</v>
      </c>
    </row>
    <row r="213" spans="1:11" customFormat="1" hidden="1">
      <c r="A213">
        <v>6129</v>
      </c>
      <c r="B213" t="s">
        <v>2134</v>
      </c>
      <c r="C213" s="46">
        <v>93754</v>
      </c>
      <c r="D213" s="46">
        <v>118522</v>
      </c>
      <c r="E213" s="46">
        <v>109164</v>
      </c>
      <c r="F213">
        <v>-20.89</v>
      </c>
      <c r="G213">
        <v>-14.11</v>
      </c>
      <c r="H213" s="46">
        <v>1182779</v>
      </c>
      <c r="I213" s="46">
        <v>1413294</v>
      </c>
      <c r="J213">
        <v>-16.309999999999999</v>
      </c>
      <c r="K213">
        <v>0</v>
      </c>
    </row>
    <row r="214" spans="1:11" customFormat="1" hidden="1">
      <c r="A214" s="288">
        <v>6127</v>
      </c>
      <c r="B214" s="288" t="s">
        <v>2350</v>
      </c>
      <c r="C214" s="46">
        <v>72407</v>
      </c>
      <c r="D214" s="46">
        <v>82452</v>
      </c>
      <c r="E214" s="46">
        <v>84558</v>
      </c>
      <c r="F214">
        <v>-12.18</v>
      </c>
      <c r="G214">
        <v>-14.37</v>
      </c>
      <c r="H214" s="46">
        <v>972472</v>
      </c>
      <c r="I214" s="46">
        <v>951219</v>
      </c>
      <c r="J214">
        <v>2.23</v>
      </c>
      <c r="K214">
        <v>0</v>
      </c>
    </row>
    <row r="215" spans="1:11" customFormat="1" hidden="1">
      <c r="A215">
        <v>6126</v>
      </c>
      <c r="B215" t="s">
        <v>2196</v>
      </c>
      <c r="C215" s="46">
        <v>248701</v>
      </c>
      <c r="D215" s="46">
        <v>229863</v>
      </c>
      <c r="E215" s="46">
        <v>293863</v>
      </c>
      <c r="F215">
        <v>8.19</v>
      </c>
      <c r="G215">
        <v>-15.36</v>
      </c>
      <c r="H215" s="46">
        <v>2610547</v>
      </c>
      <c r="I215" s="46">
        <v>3315001</v>
      </c>
      <c r="J215">
        <v>-21.25</v>
      </c>
      <c r="K215">
        <v>0</v>
      </c>
    </row>
    <row r="216" spans="1:11" customFormat="1" hidden="1">
      <c r="A216">
        <v>6125</v>
      </c>
      <c r="B216" t="s">
        <v>453</v>
      </c>
      <c r="C216" s="46">
        <v>953491</v>
      </c>
      <c r="D216" s="46">
        <v>912074</v>
      </c>
      <c r="E216" s="46">
        <v>885310</v>
      </c>
      <c r="F216">
        <v>4.54</v>
      </c>
      <c r="G216">
        <v>7.7</v>
      </c>
      <c r="H216" s="46">
        <v>9274321</v>
      </c>
      <c r="I216" s="46">
        <v>9139328</v>
      </c>
      <c r="J216">
        <v>1.47</v>
      </c>
      <c r="K216">
        <v>1</v>
      </c>
    </row>
    <row r="217" spans="1:11" customFormat="1" hidden="1">
      <c r="A217">
        <v>6124</v>
      </c>
      <c r="B217" t="s">
        <v>2195</v>
      </c>
      <c r="C217" s="46">
        <v>178206</v>
      </c>
      <c r="D217" s="46">
        <v>182237</v>
      </c>
      <c r="E217" s="46">
        <v>211275</v>
      </c>
      <c r="F217">
        <v>-2.21</v>
      </c>
      <c r="G217">
        <v>-15.65</v>
      </c>
      <c r="H217" s="46">
        <v>1611857</v>
      </c>
      <c r="I217" s="46">
        <v>1852448</v>
      </c>
      <c r="J217">
        <v>-12.98</v>
      </c>
      <c r="K217">
        <v>1</v>
      </c>
    </row>
    <row r="218" spans="1:11" customFormat="1" hidden="1">
      <c r="A218">
        <v>6123</v>
      </c>
      <c r="B218" t="s">
        <v>2147</v>
      </c>
      <c r="C218" s="46">
        <v>341852</v>
      </c>
      <c r="D218" s="46">
        <v>325609</v>
      </c>
      <c r="E218" s="46">
        <v>329973</v>
      </c>
      <c r="F218">
        <v>4.9800000000000004</v>
      </c>
      <c r="G218">
        <v>3.59</v>
      </c>
      <c r="H218" s="46">
        <v>3342346</v>
      </c>
      <c r="I218" s="46">
        <v>3719737</v>
      </c>
      <c r="J218">
        <v>-10.14</v>
      </c>
      <c r="K218">
        <v>1</v>
      </c>
    </row>
    <row r="219" spans="1:11" customFormat="1" hidden="1">
      <c r="A219">
        <v>6122</v>
      </c>
      <c r="B219" t="s">
        <v>2087</v>
      </c>
      <c r="C219" s="46">
        <v>98192</v>
      </c>
      <c r="D219" s="46">
        <v>88493</v>
      </c>
      <c r="E219" s="46">
        <v>64055</v>
      </c>
      <c r="F219">
        <v>10.96</v>
      </c>
      <c r="G219">
        <v>53.29</v>
      </c>
      <c r="H219" s="46">
        <v>945382</v>
      </c>
      <c r="I219" s="46">
        <v>1107287</v>
      </c>
      <c r="J219">
        <v>-14.62</v>
      </c>
      <c r="K219">
        <v>1</v>
      </c>
    </row>
    <row r="220" spans="1:11" customFormat="1" hidden="1">
      <c r="A220">
        <v>6121</v>
      </c>
      <c r="B220" t="s">
        <v>452</v>
      </c>
      <c r="C220" s="46">
        <v>6401052</v>
      </c>
      <c r="D220" s="46">
        <v>6023894</v>
      </c>
      <c r="E220" s="46">
        <v>6519646</v>
      </c>
      <c r="F220">
        <v>6.26</v>
      </c>
      <c r="G220">
        <v>-1.81</v>
      </c>
      <c r="H220" s="46">
        <v>59224942</v>
      </c>
      <c r="I220" s="46">
        <v>53460908</v>
      </c>
      <c r="J220">
        <v>10.78</v>
      </c>
      <c r="K220">
        <v>1</v>
      </c>
    </row>
    <row r="221" spans="1:11" customFormat="1" hidden="1">
      <c r="A221">
        <v>6118</v>
      </c>
      <c r="B221" t="s">
        <v>2216</v>
      </c>
      <c r="C221" s="46">
        <v>639773</v>
      </c>
      <c r="D221" s="46">
        <v>563504</v>
      </c>
      <c r="E221" s="46">
        <v>596197</v>
      </c>
      <c r="F221">
        <v>13.53</v>
      </c>
      <c r="G221">
        <v>7.3</v>
      </c>
      <c r="H221" s="46">
        <v>6626122</v>
      </c>
      <c r="I221" s="46">
        <v>7278795</v>
      </c>
      <c r="J221">
        <v>-8.9600000000000009</v>
      </c>
      <c r="K221">
        <v>1</v>
      </c>
    </row>
    <row r="222" spans="1:11" customFormat="1" hidden="1">
      <c r="A222">
        <v>6114</v>
      </c>
      <c r="B222" t="s">
        <v>2349</v>
      </c>
      <c r="C222" s="46">
        <v>134586</v>
      </c>
      <c r="D222" s="46">
        <v>151182</v>
      </c>
      <c r="E222" s="46">
        <v>102143</v>
      </c>
      <c r="F222">
        <v>-10.97</v>
      </c>
      <c r="G222">
        <v>31.76</v>
      </c>
      <c r="H222" s="46">
        <v>1614071</v>
      </c>
      <c r="I222" s="46">
        <v>669338</v>
      </c>
      <c r="J222">
        <v>141.13999999999999</v>
      </c>
      <c r="K222">
        <v>0</v>
      </c>
    </row>
    <row r="223" spans="1:11" customFormat="1" hidden="1">
      <c r="A223">
        <v>6113</v>
      </c>
      <c r="B223" t="s">
        <v>2361</v>
      </c>
      <c r="C223" s="46">
        <v>169859</v>
      </c>
      <c r="D223" s="46">
        <v>145993</v>
      </c>
      <c r="E223" s="46">
        <v>118061</v>
      </c>
      <c r="F223">
        <v>16.34</v>
      </c>
      <c r="G223">
        <v>43.87</v>
      </c>
      <c r="H223" s="46">
        <v>1563870</v>
      </c>
      <c r="I223" s="46">
        <v>1490997</v>
      </c>
      <c r="J223">
        <v>4.88</v>
      </c>
      <c r="K223">
        <v>1</v>
      </c>
    </row>
    <row r="224" spans="1:11" customFormat="1" hidden="1">
      <c r="A224">
        <v>6111</v>
      </c>
      <c r="B224" t="s">
        <v>2408</v>
      </c>
      <c r="C224" s="46">
        <v>41536</v>
      </c>
      <c r="D224" s="46">
        <v>40418</v>
      </c>
      <c r="E224" s="46">
        <v>31447</v>
      </c>
      <c r="F224">
        <v>2.76</v>
      </c>
      <c r="G224">
        <v>32.08</v>
      </c>
      <c r="H224" s="46">
        <v>692000</v>
      </c>
      <c r="I224" s="46">
        <v>304807</v>
      </c>
      <c r="J224">
        <v>127.02</v>
      </c>
      <c r="K224">
        <v>0</v>
      </c>
    </row>
    <row r="225" spans="1:11" customFormat="1" hidden="1">
      <c r="A225">
        <v>6109</v>
      </c>
      <c r="B225" t="s">
        <v>2170</v>
      </c>
      <c r="C225" s="46">
        <v>150235</v>
      </c>
      <c r="D225" s="46">
        <v>153922</v>
      </c>
      <c r="E225" s="46">
        <v>183267</v>
      </c>
      <c r="F225">
        <v>-2.39</v>
      </c>
      <c r="G225">
        <v>-18.02</v>
      </c>
      <c r="H225" s="46">
        <v>1834887</v>
      </c>
      <c r="I225" s="46">
        <v>2074999</v>
      </c>
      <c r="J225">
        <v>-11.57</v>
      </c>
      <c r="K225">
        <v>0</v>
      </c>
    </row>
    <row r="226" spans="1:11" customFormat="1" hidden="1">
      <c r="A226">
        <v>6107</v>
      </c>
      <c r="B226" t="s">
        <v>2348</v>
      </c>
      <c r="C226" s="46">
        <v>661494</v>
      </c>
      <c r="D226" s="46">
        <v>528764</v>
      </c>
      <c r="E226" s="46">
        <v>523238</v>
      </c>
      <c r="F226">
        <v>25.1</v>
      </c>
      <c r="G226">
        <v>26.42</v>
      </c>
      <c r="H226" s="46">
        <v>6140242</v>
      </c>
      <c r="I226" s="46">
        <v>5516625</v>
      </c>
      <c r="J226">
        <v>11.3</v>
      </c>
      <c r="K226">
        <v>1</v>
      </c>
    </row>
    <row r="227" spans="1:11" customFormat="1" hidden="1">
      <c r="A227" s="288">
        <v>6105</v>
      </c>
      <c r="B227" s="288" t="s">
        <v>2307</v>
      </c>
      <c r="C227" s="46">
        <v>435861</v>
      </c>
      <c r="D227" s="46">
        <v>467099</v>
      </c>
      <c r="E227" s="46">
        <v>577190</v>
      </c>
      <c r="F227">
        <v>-6.68</v>
      </c>
      <c r="G227">
        <v>-24.48</v>
      </c>
      <c r="H227" s="46">
        <v>5122108</v>
      </c>
      <c r="I227" s="46">
        <v>5381003</v>
      </c>
      <c r="J227">
        <v>-4.8099999999999996</v>
      </c>
      <c r="K227">
        <v>0</v>
      </c>
    </row>
    <row r="228" spans="1:11" customFormat="1" hidden="1">
      <c r="A228">
        <v>6104</v>
      </c>
      <c r="B228" t="s">
        <v>2133</v>
      </c>
      <c r="C228" s="46">
        <v>161667</v>
      </c>
      <c r="D228" s="46">
        <v>150804</v>
      </c>
      <c r="E228" s="46">
        <v>170303</v>
      </c>
      <c r="F228">
        <v>7.2</v>
      </c>
      <c r="G228">
        <v>-5.07</v>
      </c>
      <c r="H228" s="46">
        <v>1726219</v>
      </c>
      <c r="I228" s="46">
        <v>2066734</v>
      </c>
      <c r="J228">
        <v>-16.47</v>
      </c>
      <c r="K228">
        <v>0</v>
      </c>
    </row>
    <row r="229" spans="1:11" customFormat="1" hidden="1">
      <c r="A229">
        <v>6103</v>
      </c>
      <c r="B229" t="s">
        <v>2132</v>
      </c>
      <c r="C229" s="46">
        <v>69057</v>
      </c>
      <c r="D229" s="46">
        <v>66036</v>
      </c>
      <c r="E229" s="46">
        <v>3174</v>
      </c>
      <c r="F229">
        <v>4.57</v>
      </c>
      <c r="G229" s="289">
        <v>2075.6999999999998</v>
      </c>
      <c r="H229" s="46">
        <v>423378</v>
      </c>
      <c r="I229" s="46">
        <v>39551</v>
      </c>
      <c r="J229">
        <v>970.46</v>
      </c>
      <c r="K229">
        <v>1</v>
      </c>
    </row>
    <row r="230" spans="1:11" customFormat="1" hidden="1">
      <c r="A230" s="288">
        <v>6101</v>
      </c>
      <c r="B230" s="288" t="s">
        <v>1705</v>
      </c>
      <c r="C230" s="46">
        <v>34584</v>
      </c>
      <c r="D230" s="46">
        <v>41966</v>
      </c>
      <c r="E230" s="46">
        <v>98360</v>
      </c>
      <c r="F230">
        <v>-17.59</v>
      </c>
      <c r="G230">
        <v>-64.83</v>
      </c>
      <c r="H230" s="46">
        <v>450600</v>
      </c>
      <c r="I230" s="46">
        <v>1087841</v>
      </c>
      <c r="J230">
        <v>-58.57</v>
      </c>
      <c r="K230">
        <v>0</v>
      </c>
    </row>
    <row r="231" spans="1:11" customFormat="1">
      <c r="A231" s="288" t="str">
        <f>HYPERLINK("http://tw.stock.yahoo.com/q/ta?s=5490","5490")</f>
        <v>5490</v>
      </c>
      <c r="B231" s="288" t="str">
        <f>HYPERLINK("http://tw.stock.yahoo.com/d/s/earning_5490.html","同亨")</f>
        <v>同亨</v>
      </c>
      <c r="C231" s="46">
        <v>431379</v>
      </c>
      <c r="D231" s="46">
        <v>249276</v>
      </c>
      <c r="E231" s="46">
        <v>173884</v>
      </c>
      <c r="F231">
        <v>73.05</v>
      </c>
      <c r="G231">
        <v>148.08000000000001</v>
      </c>
      <c r="H231" s="46">
        <v>2991307</v>
      </c>
      <c r="I231" s="46">
        <v>1616392</v>
      </c>
      <c r="J231">
        <v>85.06</v>
      </c>
      <c r="K231">
        <v>1</v>
      </c>
    </row>
    <row r="232" spans="1:11" customFormat="1">
      <c r="A232" s="288" t="str">
        <f>HYPERLINK("http://tw.stock.yahoo.com/q/ta?s=8091","8091")</f>
        <v>8091</v>
      </c>
      <c r="B232" s="288" t="str">
        <f>HYPERLINK("http://tw.stock.yahoo.com/d/s/earning_8091.html","翔名科技")</f>
        <v>翔名科技</v>
      </c>
      <c r="C232" s="46">
        <v>380606</v>
      </c>
      <c r="D232" s="46">
        <v>227635</v>
      </c>
      <c r="E232" s="46">
        <v>116223</v>
      </c>
      <c r="F232">
        <v>67.2</v>
      </c>
      <c r="G232">
        <v>227.47</v>
      </c>
      <c r="H232" s="46">
        <v>2215084</v>
      </c>
      <c r="I232" s="46">
        <v>1199632</v>
      </c>
      <c r="J232">
        <v>84.64</v>
      </c>
      <c r="K232">
        <v>1</v>
      </c>
    </row>
    <row r="233" spans="1:11" customFormat="1" hidden="1">
      <c r="A233" s="288">
        <v>6022</v>
      </c>
      <c r="B233" s="288" t="s">
        <v>2392</v>
      </c>
      <c r="C233" s="46">
        <v>116613</v>
      </c>
      <c r="D233" s="46">
        <v>109310</v>
      </c>
      <c r="E233" s="46">
        <v>57007</v>
      </c>
      <c r="F233">
        <v>6.68</v>
      </c>
      <c r="G233">
        <v>104.55</v>
      </c>
      <c r="H233" s="46">
        <v>780946</v>
      </c>
      <c r="I233" s="46">
        <v>876045</v>
      </c>
      <c r="J233">
        <v>-10.85</v>
      </c>
      <c r="K233">
        <v>1</v>
      </c>
    </row>
    <row r="234" spans="1:11" customFormat="1" hidden="1">
      <c r="A234">
        <v>6021</v>
      </c>
      <c r="B234" t="s">
        <v>450</v>
      </c>
      <c r="C234" s="46">
        <v>28654</v>
      </c>
      <c r="D234" s="46">
        <v>47705</v>
      </c>
      <c r="E234" s="46">
        <v>35866</v>
      </c>
      <c r="F234">
        <v>-39.93</v>
      </c>
      <c r="G234">
        <v>-20.100000000000001</v>
      </c>
      <c r="H234" s="46">
        <v>374253</v>
      </c>
      <c r="I234" s="46">
        <v>459073</v>
      </c>
      <c r="J234">
        <v>-18.47</v>
      </c>
      <c r="K234">
        <v>0</v>
      </c>
    </row>
    <row r="235" spans="1:11" customFormat="1" hidden="1">
      <c r="A235">
        <v>6020</v>
      </c>
      <c r="B235" t="s">
        <v>449</v>
      </c>
      <c r="C235" s="46">
        <v>37440</v>
      </c>
      <c r="D235" s="46">
        <v>22955</v>
      </c>
      <c r="E235" s="46">
        <v>19004</v>
      </c>
      <c r="F235">
        <v>63.1</v>
      </c>
      <c r="G235">
        <v>97.01</v>
      </c>
      <c r="H235" s="46">
        <v>87382</v>
      </c>
      <c r="I235" s="46">
        <v>261285</v>
      </c>
      <c r="J235">
        <v>-66.55</v>
      </c>
      <c r="K235">
        <v>1</v>
      </c>
    </row>
    <row r="236" spans="1:11" customFormat="1" hidden="1">
      <c r="A236" s="288">
        <v>6016</v>
      </c>
      <c r="B236" s="288" t="s">
        <v>2250</v>
      </c>
      <c r="C236" s="46">
        <v>249780</v>
      </c>
      <c r="D236" s="46">
        <v>228323</v>
      </c>
      <c r="E236" s="46">
        <v>175087</v>
      </c>
      <c r="F236">
        <v>9.39</v>
      </c>
      <c r="G236">
        <v>42.66</v>
      </c>
      <c r="H236" s="46">
        <v>2238333</v>
      </c>
      <c r="I236" s="46">
        <v>2087836</v>
      </c>
      <c r="J236">
        <v>7.2</v>
      </c>
      <c r="K236">
        <v>1</v>
      </c>
    </row>
    <row r="237" spans="1:11" customFormat="1" hidden="1">
      <c r="A237">
        <v>6015</v>
      </c>
      <c r="B237" t="s">
        <v>2249</v>
      </c>
      <c r="C237" s="46">
        <v>53740</v>
      </c>
      <c r="D237" s="46">
        <v>68822</v>
      </c>
      <c r="E237" s="46">
        <v>83690</v>
      </c>
      <c r="F237">
        <v>-21.91</v>
      </c>
      <c r="G237">
        <v>-35.78</v>
      </c>
      <c r="H237" s="46">
        <v>428425</v>
      </c>
      <c r="I237" s="46">
        <v>935615</v>
      </c>
      <c r="J237">
        <v>-54.2</v>
      </c>
      <c r="K237">
        <v>1</v>
      </c>
    </row>
    <row r="238" spans="1:11" customFormat="1" hidden="1">
      <c r="A238">
        <v>5905</v>
      </c>
      <c r="B238" t="s">
        <v>1700</v>
      </c>
      <c r="C238" s="46">
        <v>108912</v>
      </c>
      <c r="D238" s="46">
        <v>131071</v>
      </c>
      <c r="E238" s="46">
        <v>110988</v>
      </c>
      <c r="F238">
        <v>-16.899999999999999</v>
      </c>
      <c r="G238" s="289">
        <v>-1.87</v>
      </c>
      <c r="H238" s="46">
        <v>1460478</v>
      </c>
      <c r="I238" s="46">
        <v>1564364</v>
      </c>
      <c r="J238">
        <v>-6.64</v>
      </c>
      <c r="K238">
        <v>0</v>
      </c>
    </row>
    <row r="239" spans="1:11" customFormat="1" hidden="1">
      <c r="A239">
        <v>5904</v>
      </c>
      <c r="B239" t="s">
        <v>448</v>
      </c>
      <c r="C239" s="46">
        <v>879290</v>
      </c>
      <c r="D239" s="46">
        <v>922398</v>
      </c>
      <c r="E239" s="46">
        <v>785879</v>
      </c>
      <c r="F239">
        <v>-4.67</v>
      </c>
      <c r="G239">
        <v>11.88</v>
      </c>
      <c r="H239" s="46">
        <v>9641186</v>
      </c>
      <c r="I239" s="46">
        <v>8183584</v>
      </c>
      <c r="J239">
        <v>17.809999999999999</v>
      </c>
      <c r="K239">
        <v>0</v>
      </c>
    </row>
    <row r="240" spans="1:11" customFormat="1" hidden="1">
      <c r="A240">
        <v>5903</v>
      </c>
      <c r="B240" t="s">
        <v>2251</v>
      </c>
      <c r="C240" s="46">
        <v>4706936</v>
      </c>
      <c r="D240" s="46">
        <v>4982054</v>
      </c>
      <c r="E240" s="46">
        <v>4493972</v>
      </c>
      <c r="F240">
        <v>-5.52</v>
      </c>
      <c r="G240">
        <v>4.7300000000000004</v>
      </c>
      <c r="H240" s="46">
        <v>53114646</v>
      </c>
      <c r="I240" s="46">
        <v>51637537</v>
      </c>
      <c r="J240">
        <v>2.86</v>
      </c>
      <c r="K240">
        <v>0</v>
      </c>
    </row>
    <row r="241" spans="1:11" customFormat="1" hidden="1">
      <c r="A241">
        <v>5902</v>
      </c>
      <c r="B241" t="s">
        <v>447</v>
      </c>
      <c r="C241" s="46">
        <v>156610</v>
      </c>
      <c r="D241" s="46">
        <v>148923</v>
      </c>
      <c r="E241" s="46">
        <v>143866</v>
      </c>
      <c r="F241">
        <v>5.16</v>
      </c>
      <c r="G241">
        <v>8.85</v>
      </c>
      <c r="H241" s="46">
        <v>1810821</v>
      </c>
      <c r="I241" s="46">
        <v>1862967</v>
      </c>
      <c r="J241">
        <v>-2.79</v>
      </c>
      <c r="K241">
        <v>0</v>
      </c>
    </row>
    <row r="242" spans="1:11" customFormat="1" hidden="1">
      <c r="A242">
        <v>5878</v>
      </c>
      <c r="B242" t="s">
        <v>446</v>
      </c>
      <c r="C242" s="46">
        <v>44221</v>
      </c>
      <c r="D242" s="46">
        <v>55279</v>
      </c>
      <c r="E242" s="46">
        <v>32078</v>
      </c>
      <c r="F242">
        <v>-20</v>
      </c>
      <c r="G242">
        <v>37.85</v>
      </c>
      <c r="H242" s="46">
        <v>540022</v>
      </c>
      <c r="I242" s="46">
        <v>470218</v>
      </c>
      <c r="J242">
        <v>14.84</v>
      </c>
      <c r="K242">
        <v>0</v>
      </c>
    </row>
    <row r="243" spans="1:11" customFormat="1" hidden="1">
      <c r="A243" s="288">
        <v>5820</v>
      </c>
      <c r="B243" s="288" t="s">
        <v>2248</v>
      </c>
      <c r="C243" s="46">
        <v>639932</v>
      </c>
      <c r="D243" s="46">
        <v>646329</v>
      </c>
      <c r="E243" s="46">
        <v>601146</v>
      </c>
      <c r="F243">
        <v>-0.98</v>
      </c>
      <c r="G243">
        <v>6.45</v>
      </c>
      <c r="H243" s="46">
        <v>6953286</v>
      </c>
      <c r="I243" s="46">
        <v>7230852</v>
      </c>
      <c r="J243">
        <v>-3.83</v>
      </c>
      <c r="K243">
        <v>0</v>
      </c>
    </row>
    <row r="244" spans="1:11" customFormat="1" hidden="1">
      <c r="A244" s="288">
        <v>5704</v>
      </c>
      <c r="B244" s="288" t="s">
        <v>2247</v>
      </c>
      <c r="C244" s="46">
        <v>27533</v>
      </c>
      <c r="D244" s="46">
        <v>27781</v>
      </c>
      <c r="E244" s="46">
        <v>29304</v>
      </c>
      <c r="F244">
        <v>-0.89</v>
      </c>
      <c r="G244">
        <v>-6.04</v>
      </c>
      <c r="H244" s="46">
        <v>299057</v>
      </c>
      <c r="I244" s="46">
        <v>321002</v>
      </c>
      <c r="J244">
        <v>-6.83</v>
      </c>
      <c r="K244">
        <v>0</v>
      </c>
    </row>
    <row r="245" spans="1:11" customFormat="1" hidden="1">
      <c r="A245">
        <v>5703</v>
      </c>
      <c r="B245" t="s">
        <v>2246</v>
      </c>
      <c r="C245" s="46">
        <v>92768</v>
      </c>
      <c r="D245" s="46">
        <v>91017</v>
      </c>
      <c r="E245" s="46">
        <v>97010</v>
      </c>
      <c r="F245">
        <v>1.92</v>
      </c>
      <c r="G245">
        <v>-4.37</v>
      </c>
      <c r="H245" s="46">
        <v>933519</v>
      </c>
      <c r="I245" s="46">
        <v>940364</v>
      </c>
      <c r="J245">
        <v>-0.72</v>
      </c>
      <c r="K245">
        <v>1</v>
      </c>
    </row>
    <row r="246" spans="1:11" customFormat="1" hidden="1">
      <c r="A246">
        <v>5701</v>
      </c>
      <c r="B246" t="s">
        <v>1695</v>
      </c>
      <c r="C246" s="46">
        <v>103717</v>
      </c>
      <c r="D246" s="46">
        <v>132287</v>
      </c>
      <c r="E246" s="46">
        <v>108889</v>
      </c>
      <c r="F246">
        <v>-21.59</v>
      </c>
      <c r="G246">
        <v>-4.74</v>
      </c>
      <c r="H246" s="46">
        <v>1419104</v>
      </c>
      <c r="I246" s="46">
        <v>1452762</v>
      </c>
      <c r="J246">
        <v>-2.31</v>
      </c>
      <c r="K246">
        <v>0</v>
      </c>
    </row>
    <row r="247" spans="1:11" customFormat="1" hidden="1">
      <c r="A247">
        <v>5609</v>
      </c>
      <c r="B247" t="s">
        <v>445</v>
      </c>
      <c r="C247" s="46">
        <v>1277419</v>
      </c>
      <c r="D247" s="46">
        <v>1307650</v>
      </c>
      <c r="E247" s="46">
        <v>1423165</v>
      </c>
      <c r="F247">
        <v>-2.31</v>
      </c>
      <c r="G247">
        <v>-10.24</v>
      </c>
      <c r="H247" s="46">
        <v>13487500</v>
      </c>
      <c r="I247" s="46">
        <v>14394982</v>
      </c>
      <c r="J247">
        <v>-6.3</v>
      </c>
      <c r="K247">
        <v>0</v>
      </c>
    </row>
    <row r="248" spans="1:11" customFormat="1" hidden="1">
      <c r="A248">
        <v>5604</v>
      </c>
      <c r="B248" t="s">
        <v>2243</v>
      </c>
      <c r="C248" s="46">
        <v>117853</v>
      </c>
      <c r="D248" s="46">
        <v>125189</v>
      </c>
      <c r="E248" s="46">
        <v>122108</v>
      </c>
      <c r="F248">
        <v>-5.85</v>
      </c>
      <c r="G248">
        <v>-3.48</v>
      </c>
      <c r="H248" s="46">
        <v>1316619</v>
      </c>
      <c r="I248" s="46">
        <v>1403516</v>
      </c>
      <c r="J248">
        <v>-6.19</v>
      </c>
      <c r="K248">
        <v>0</v>
      </c>
    </row>
    <row r="249" spans="1:11" customFormat="1" hidden="1">
      <c r="A249">
        <v>5603</v>
      </c>
      <c r="B249" t="s">
        <v>444</v>
      </c>
      <c r="C249" s="46">
        <v>153605</v>
      </c>
      <c r="D249" s="46">
        <v>184540</v>
      </c>
      <c r="E249" s="46">
        <v>203015</v>
      </c>
      <c r="F249">
        <v>-16.760000000000002</v>
      </c>
      <c r="G249">
        <v>-24.33</v>
      </c>
      <c r="H249" s="46">
        <v>1849536</v>
      </c>
      <c r="I249" s="46">
        <v>2285085</v>
      </c>
      <c r="J249">
        <v>-19.059999999999999</v>
      </c>
      <c r="K249">
        <v>0</v>
      </c>
    </row>
    <row r="250" spans="1:11" customFormat="1" hidden="1">
      <c r="A250">
        <v>5601</v>
      </c>
      <c r="B250" t="s">
        <v>2242</v>
      </c>
      <c r="C250" s="46">
        <v>6317</v>
      </c>
      <c r="D250" s="46">
        <v>6316</v>
      </c>
      <c r="E250" s="46">
        <v>6444</v>
      </c>
      <c r="F250">
        <v>0.01</v>
      </c>
      <c r="G250">
        <v>-1.97</v>
      </c>
      <c r="H250" s="46">
        <v>68927</v>
      </c>
      <c r="I250" s="46">
        <v>63372</v>
      </c>
      <c r="J250">
        <v>8.76</v>
      </c>
      <c r="K250">
        <v>0</v>
      </c>
    </row>
    <row r="251" spans="1:11" customFormat="1" hidden="1">
      <c r="A251">
        <v>5536</v>
      </c>
      <c r="B251" t="s">
        <v>443</v>
      </c>
      <c r="C251" s="46">
        <v>1014062</v>
      </c>
      <c r="D251" s="46">
        <v>957940</v>
      </c>
      <c r="E251" s="46">
        <v>756421</v>
      </c>
      <c r="F251">
        <v>5.85</v>
      </c>
      <c r="G251">
        <v>34.06</v>
      </c>
      <c r="H251" s="46">
        <v>7833000</v>
      </c>
      <c r="I251" s="46">
        <v>6906562</v>
      </c>
      <c r="J251">
        <v>13.41</v>
      </c>
      <c r="K251">
        <v>1</v>
      </c>
    </row>
    <row r="252" spans="1:11" customFormat="1" hidden="1">
      <c r="A252">
        <v>5530</v>
      </c>
      <c r="B252" t="s">
        <v>1692</v>
      </c>
      <c r="C252" s="46">
        <v>265969</v>
      </c>
      <c r="D252" s="46">
        <v>327893</v>
      </c>
      <c r="E252" s="46">
        <v>528206</v>
      </c>
      <c r="F252">
        <v>-18.88</v>
      </c>
      <c r="G252">
        <v>-49.64</v>
      </c>
      <c r="H252" s="46">
        <v>3323565</v>
      </c>
      <c r="I252" s="46">
        <v>4987451</v>
      </c>
      <c r="J252">
        <v>-33.36</v>
      </c>
      <c r="K252">
        <v>0</v>
      </c>
    </row>
    <row r="253" spans="1:11" customFormat="1" hidden="1">
      <c r="A253">
        <v>5529</v>
      </c>
      <c r="B253" t="s">
        <v>2241</v>
      </c>
      <c r="C253" s="46">
        <v>466</v>
      </c>
      <c r="D253" s="46">
        <v>491</v>
      </c>
      <c r="E253" s="46">
        <v>36841</v>
      </c>
      <c r="F253">
        <v>-5.09</v>
      </c>
      <c r="G253">
        <v>-98.73</v>
      </c>
      <c r="H253" s="46">
        <v>20222</v>
      </c>
      <c r="I253" s="46">
        <v>378823</v>
      </c>
      <c r="J253">
        <v>-94.66</v>
      </c>
      <c r="K253">
        <v>0</v>
      </c>
    </row>
    <row r="254" spans="1:11" customFormat="1" hidden="1">
      <c r="A254">
        <v>5523</v>
      </c>
      <c r="B254" t="s">
        <v>442</v>
      </c>
      <c r="C254" s="46">
        <v>295</v>
      </c>
      <c r="D254" s="46">
        <v>299</v>
      </c>
      <c r="E254" s="46">
        <v>896</v>
      </c>
      <c r="F254">
        <v>-1.33</v>
      </c>
      <c r="G254">
        <v>-67.069999999999993</v>
      </c>
      <c r="H254" s="46">
        <v>2913</v>
      </c>
      <c r="I254" s="46">
        <v>61213</v>
      </c>
      <c r="J254">
        <v>-95.24</v>
      </c>
      <c r="K254">
        <v>1</v>
      </c>
    </row>
    <row r="255" spans="1:11" customFormat="1" hidden="1">
      <c r="A255">
        <v>5520</v>
      </c>
      <c r="B255" t="s">
        <v>2240</v>
      </c>
      <c r="C255" s="46">
        <v>188368</v>
      </c>
      <c r="D255" s="46">
        <v>193111</v>
      </c>
      <c r="E255" s="46">
        <v>203399</v>
      </c>
      <c r="F255">
        <v>-2.4500000000000002</v>
      </c>
      <c r="G255">
        <v>-7.38</v>
      </c>
      <c r="H255" s="46">
        <v>2121844</v>
      </c>
      <c r="I255" s="46">
        <v>2218504</v>
      </c>
      <c r="J255">
        <v>-4.3499999999999996</v>
      </c>
      <c r="K255">
        <v>0</v>
      </c>
    </row>
    <row r="256" spans="1:11" customFormat="1" hidden="1">
      <c r="A256">
        <v>5516</v>
      </c>
      <c r="B256" t="s">
        <v>2239</v>
      </c>
      <c r="C256" s="46">
        <v>37612</v>
      </c>
      <c r="D256" s="46">
        <v>40999</v>
      </c>
      <c r="E256" s="46">
        <v>33307</v>
      </c>
      <c r="F256">
        <v>-8.26</v>
      </c>
      <c r="G256">
        <v>12.92</v>
      </c>
      <c r="H256" s="46">
        <v>496206</v>
      </c>
      <c r="I256" s="46">
        <v>493036</v>
      </c>
      <c r="J256">
        <v>0.64</v>
      </c>
      <c r="K256">
        <v>0</v>
      </c>
    </row>
    <row r="257" spans="1:11" customFormat="1" hidden="1">
      <c r="A257" s="288">
        <v>5514</v>
      </c>
      <c r="B257" s="288" t="s">
        <v>2238</v>
      </c>
      <c r="C257" s="46">
        <v>406</v>
      </c>
      <c r="D257" s="46">
        <v>384</v>
      </c>
      <c r="E257" s="46">
        <v>39306</v>
      </c>
      <c r="F257">
        <v>5.72</v>
      </c>
      <c r="G257">
        <v>-98.96</v>
      </c>
      <c r="H257" s="46">
        <v>4195</v>
      </c>
      <c r="I257" s="46">
        <v>1530969</v>
      </c>
      <c r="J257">
        <v>-99.72</v>
      </c>
      <c r="K257">
        <v>1</v>
      </c>
    </row>
    <row r="258" spans="1:11" customFormat="1" hidden="1">
      <c r="A258">
        <v>5512</v>
      </c>
      <c r="B258" t="s">
        <v>441</v>
      </c>
      <c r="C258" s="46">
        <v>198954</v>
      </c>
      <c r="D258" s="46">
        <v>144057</v>
      </c>
      <c r="E258" s="46">
        <v>394134</v>
      </c>
      <c r="F258">
        <v>38.1</v>
      </c>
      <c r="G258">
        <v>-49.52</v>
      </c>
      <c r="H258" s="46">
        <v>1586043</v>
      </c>
      <c r="I258" s="46">
        <v>6228882</v>
      </c>
      <c r="J258">
        <v>-74.53</v>
      </c>
      <c r="K258">
        <v>1</v>
      </c>
    </row>
    <row r="259" spans="1:11" customFormat="1" hidden="1">
      <c r="A259">
        <v>5511</v>
      </c>
      <c r="B259" t="s">
        <v>2237</v>
      </c>
      <c r="C259" s="46">
        <v>344928</v>
      </c>
      <c r="D259" s="46">
        <v>295278</v>
      </c>
      <c r="E259" s="46">
        <v>295779</v>
      </c>
      <c r="F259">
        <v>16.809999999999999</v>
      </c>
      <c r="G259">
        <v>16.61</v>
      </c>
      <c r="H259" s="46">
        <v>3396245</v>
      </c>
      <c r="I259" s="46">
        <v>4026906</v>
      </c>
      <c r="J259">
        <v>-15.66</v>
      </c>
      <c r="K259">
        <v>1</v>
      </c>
    </row>
    <row r="260" spans="1:11" customFormat="1" hidden="1">
      <c r="A260">
        <v>5508</v>
      </c>
      <c r="B260" t="s">
        <v>2236</v>
      </c>
      <c r="C260" s="46">
        <v>79359</v>
      </c>
      <c r="D260" s="46">
        <v>92497</v>
      </c>
      <c r="E260" s="46">
        <v>155256</v>
      </c>
      <c r="F260">
        <v>-14.2</v>
      </c>
      <c r="G260">
        <v>-48.88</v>
      </c>
      <c r="H260" s="46">
        <v>1592472</v>
      </c>
      <c r="I260" s="46">
        <v>3744025</v>
      </c>
      <c r="J260">
        <v>-57.46</v>
      </c>
      <c r="K260">
        <v>0</v>
      </c>
    </row>
    <row r="261" spans="1:11" customFormat="1" hidden="1">
      <c r="A261">
        <v>5498</v>
      </c>
      <c r="B261" t="s">
        <v>2347</v>
      </c>
      <c r="C261" s="46">
        <v>61087</v>
      </c>
      <c r="D261" s="46">
        <v>65140</v>
      </c>
      <c r="E261" s="46">
        <v>99720</v>
      </c>
      <c r="F261">
        <v>-6.22</v>
      </c>
      <c r="G261">
        <v>-38.74</v>
      </c>
      <c r="H261" s="46">
        <v>800152</v>
      </c>
      <c r="I261" s="46">
        <v>1208322</v>
      </c>
      <c r="J261">
        <v>-33.770000000000003</v>
      </c>
      <c r="K261">
        <v>0</v>
      </c>
    </row>
    <row r="262" spans="1:11" customFormat="1" hidden="1">
      <c r="A262" s="288">
        <v>5493</v>
      </c>
      <c r="B262" s="288" t="s">
        <v>2381</v>
      </c>
      <c r="C262" s="46">
        <v>162389</v>
      </c>
      <c r="D262" s="46">
        <v>148079</v>
      </c>
      <c r="E262" s="46">
        <v>145572</v>
      </c>
      <c r="F262">
        <v>9.66</v>
      </c>
      <c r="G262">
        <v>11.55</v>
      </c>
      <c r="H262" s="46">
        <v>2080457</v>
      </c>
      <c r="I262" s="46">
        <v>1640853</v>
      </c>
      <c r="J262">
        <v>26.79</v>
      </c>
      <c r="K262">
        <v>0</v>
      </c>
    </row>
    <row r="263" spans="1:11" customFormat="1" hidden="1">
      <c r="A263">
        <v>5491</v>
      </c>
      <c r="B263" t="s">
        <v>2194</v>
      </c>
      <c r="C263" s="46">
        <v>706545</v>
      </c>
      <c r="D263" s="46">
        <v>665002</v>
      </c>
      <c r="E263" s="46">
        <v>806993</v>
      </c>
      <c r="F263">
        <v>6.24</v>
      </c>
      <c r="G263">
        <v>-12.44</v>
      </c>
      <c r="H263" s="46">
        <v>7389330</v>
      </c>
      <c r="I263" s="46">
        <v>8528612</v>
      </c>
      <c r="J263">
        <v>-13.35</v>
      </c>
      <c r="K263">
        <v>1</v>
      </c>
    </row>
    <row r="264" spans="1:11" customFormat="1">
      <c r="A264" s="288" t="str">
        <f>HYPERLINK("http://tw.stock.yahoo.com/q/ta?s=3632","3632")</f>
        <v>3632</v>
      </c>
      <c r="B264" s="288" t="str">
        <f>HYPERLINK("http://tw.stock.yahoo.com/d/s/earning_3632.html","研勤")</f>
        <v>研勤</v>
      </c>
      <c r="C264" s="46">
        <v>154449</v>
      </c>
      <c r="D264" s="46">
        <v>102334</v>
      </c>
      <c r="E264" s="46">
        <v>135339</v>
      </c>
      <c r="F264">
        <v>50.92</v>
      </c>
      <c r="G264">
        <v>14.12</v>
      </c>
      <c r="H264" s="46">
        <v>1349274</v>
      </c>
      <c r="I264" s="46">
        <v>872232</v>
      </c>
      <c r="J264">
        <v>54.69</v>
      </c>
      <c r="K264">
        <v>1</v>
      </c>
    </row>
    <row r="265" spans="1:11" customFormat="1" hidden="1">
      <c r="A265">
        <v>5489</v>
      </c>
      <c r="B265" t="s">
        <v>2230</v>
      </c>
      <c r="C265" s="46">
        <v>206950</v>
      </c>
      <c r="D265" s="46">
        <v>210058</v>
      </c>
      <c r="E265" s="46">
        <v>255704</v>
      </c>
      <c r="F265">
        <v>-1.47</v>
      </c>
      <c r="G265">
        <v>-19.059999999999999</v>
      </c>
      <c r="H265" s="46">
        <v>2108998</v>
      </c>
      <c r="I265" s="46">
        <v>2471197</v>
      </c>
      <c r="J265">
        <v>-14.65</v>
      </c>
      <c r="K265">
        <v>1</v>
      </c>
    </row>
    <row r="266" spans="1:11" customFormat="1" hidden="1">
      <c r="A266">
        <v>5488</v>
      </c>
      <c r="B266" t="s">
        <v>2193</v>
      </c>
      <c r="C266" s="46">
        <v>163831</v>
      </c>
      <c r="D266" s="46">
        <v>142750</v>
      </c>
      <c r="E266" s="46">
        <v>180727</v>
      </c>
      <c r="F266">
        <v>14.76</v>
      </c>
      <c r="G266">
        <v>-9.34</v>
      </c>
      <c r="H266" s="46">
        <v>1794659</v>
      </c>
      <c r="I266" s="46">
        <v>1906219</v>
      </c>
      <c r="J266">
        <v>-5.85</v>
      </c>
      <c r="K266">
        <v>0</v>
      </c>
    </row>
    <row r="267" spans="1:11" customFormat="1" hidden="1">
      <c r="A267">
        <v>5487</v>
      </c>
      <c r="B267" t="s">
        <v>439</v>
      </c>
      <c r="C267" s="46">
        <v>29322</v>
      </c>
      <c r="D267" s="46">
        <v>27999</v>
      </c>
      <c r="E267" s="46">
        <v>24039</v>
      </c>
      <c r="F267">
        <v>4.72</v>
      </c>
      <c r="G267">
        <v>21.97</v>
      </c>
      <c r="H267" s="46">
        <v>287350</v>
      </c>
      <c r="I267" s="46">
        <v>285806</v>
      </c>
      <c r="J267">
        <v>0.54</v>
      </c>
      <c r="K267">
        <v>1</v>
      </c>
    </row>
    <row r="268" spans="1:11" customFormat="1" hidden="1">
      <c r="A268">
        <v>5483</v>
      </c>
      <c r="B268" t="s">
        <v>2131</v>
      </c>
      <c r="C268" s="46">
        <v>2340831</v>
      </c>
      <c r="D268" s="46">
        <v>2335770</v>
      </c>
      <c r="E268" s="46">
        <v>2383960</v>
      </c>
      <c r="F268">
        <v>0.21</v>
      </c>
      <c r="G268">
        <v>-1.8</v>
      </c>
      <c r="H268" s="46">
        <v>25947043</v>
      </c>
      <c r="I268" s="46">
        <v>25397441</v>
      </c>
      <c r="J268">
        <v>2.16</v>
      </c>
      <c r="K268">
        <v>0</v>
      </c>
    </row>
    <row r="269" spans="1:11" customFormat="1" hidden="1">
      <c r="A269">
        <v>5481</v>
      </c>
      <c r="B269" t="s">
        <v>2192</v>
      </c>
      <c r="C269" s="46">
        <v>10</v>
      </c>
      <c r="D269" s="46">
        <v>136</v>
      </c>
      <c r="E269" s="46">
        <v>12729</v>
      </c>
      <c r="F269">
        <v>-92.64</v>
      </c>
      <c r="G269">
        <v>-99.92</v>
      </c>
      <c r="H269" s="46">
        <v>75136</v>
      </c>
      <c r="I269" s="46">
        <v>223439</v>
      </c>
      <c r="J269">
        <v>-66.37</v>
      </c>
      <c r="K269">
        <v>0</v>
      </c>
    </row>
    <row r="270" spans="1:11" customFormat="1" hidden="1">
      <c r="A270" s="288">
        <v>5480</v>
      </c>
      <c r="B270" s="288" t="s">
        <v>2346</v>
      </c>
      <c r="C270" s="46">
        <v>538103</v>
      </c>
      <c r="D270" s="46">
        <v>567179</v>
      </c>
      <c r="E270" s="46">
        <v>525485</v>
      </c>
      <c r="F270">
        <v>-5.12</v>
      </c>
      <c r="G270">
        <v>2.4</v>
      </c>
      <c r="H270" s="46">
        <v>5604734</v>
      </c>
      <c r="I270" s="46">
        <v>6002722</v>
      </c>
      <c r="J270">
        <v>-6.63</v>
      </c>
      <c r="K270">
        <v>1</v>
      </c>
    </row>
    <row r="271" spans="1:11" customFormat="1" hidden="1">
      <c r="A271">
        <v>5478</v>
      </c>
      <c r="B271" t="s">
        <v>438</v>
      </c>
      <c r="C271" s="46">
        <v>1210593</v>
      </c>
      <c r="D271" s="46">
        <v>1232702</v>
      </c>
      <c r="E271" s="46">
        <v>1154304</v>
      </c>
      <c r="F271">
        <v>-1.79</v>
      </c>
      <c r="G271">
        <v>4.87</v>
      </c>
      <c r="H271" s="46">
        <v>13669004</v>
      </c>
      <c r="I271" s="46">
        <v>13665768</v>
      </c>
      <c r="J271">
        <v>0.02</v>
      </c>
      <c r="K271">
        <v>0</v>
      </c>
    </row>
    <row r="272" spans="1:11" customFormat="1" hidden="1">
      <c r="A272" s="288">
        <v>5475</v>
      </c>
      <c r="B272" s="288" t="s">
        <v>2191</v>
      </c>
      <c r="C272" s="46">
        <v>176497</v>
      </c>
      <c r="D272" s="46">
        <v>186471</v>
      </c>
      <c r="E272" s="46">
        <v>218940</v>
      </c>
      <c r="F272">
        <v>-5.34</v>
      </c>
      <c r="G272">
        <v>-19.38</v>
      </c>
      <c r="H272" s="46">
        <v>2218543</v>
      </c>
      <c r="I272" s="46">
        <v>2694869</v>
      </c>
      <c r="J272">
        <v>-17.670000000000002</v>
      </c>
      <c r="K272">
        <v>0</v>
      </c>
    </row>
    <row r="273" spans="1:11" customFormat="1" hidden="1">
      <c r="A273">
        <v>5474</v>
      </c>
      <c r="B273" t="s">
        <v>2306</v>
      </c>
      <c r="C273" s="46">
        <v>92877</v>
      </c>
      <c r="D273" s="46">
        <v>78263</v>
      </c>
      <c r="E273" s="46">
        <v>108787</v>
      </c>
      <c r="F273">
        <v>18.670000000000002</v>
      </c>
      <c r="G273">
        <v>-14.62</v>
      </c>
      <c r="H273" s="46">
        <v>948328</v>
      </c>
      <c r="I273" s="46">
        <v>683234</v>
      </c>
      <c r="J273">
        <v>38.79</v>
      </c>
      <c r="K273">
        <v>1</v>
      </c>
    </row>
    <row r="274" spans="1:11" customFormat="1" hidden="1">
      <c r="A274">
        <v>5468</v>
      </c>
      <c r="B274" t="s">
        <v>437</v>
      </c>
      <c r="C274" s="46">
        <v>18720</v>
      </c>
      <c r="D274" s="46">
        <v>29158</v>
      </c>
      <c r="E274" s="46">
        <v>35578</v>
      </c>
      <c r="F274">
        <v>-35.79</v>
      </c>
      <c r="G274">
        <v>-47.38</v>
      </c>
      <c r="H274" s="46">
        <v>402830</v>
      </c>
      <c r="I274" s="46">
        <v>431005</v>
      </c>
      <c r="J274">
        <v>-6.53</v>
      </c>
      <c r="K274">
        <v>0</v>
      </c>
    </row>
    <row r="275" spans="1:11" customFormat="1" hidden="1">
      <c r="A275">
        <v>5465</v>
      </c>
      <c r="B275" t="s">
        <v>436</v>
      </c>
      <c r="C275" s="46">
        <v>185010</v>
      </c>
      <c r="D275" s="46">
        <v>180002</v>
      </c>
      <c r="E275" s="46">
        <v>248302</v>
      </c>
      <c r="F275">
        <v>2.78</v>
      </c>
      <c r="G275">
        <v>-25.48</v>
      </c>
      <c r="H275" s="46">
        <v>2232036</v>
      </c>
      <c r="I275" s="46">
        <v>2146042</v>
      </c>
      <c r="J275">
        <v>4</v>
      </c>
      <c r="K275">
        <v>0</v>
      </c>
    </row>
    <row r="276" spans="1:11" customFormat="1" hidden="1">
      <c r="A276">
        <v>5464</v>
      </c>
      <c r="B276" t="s">
        <v>2190</v>
      </c>
      <c r="C276" s="46">
        <v>121616</v>
      </c>
      <c r="D276" s="46">
        <v>115524</v>
      </c>
      <c r="E276" s="46">
        <v>112802</v>
      </c>
      <c r="F276">
        <v>5.27</v>
      </c>
      <c r="G276">
        <v>7.81</v>
      </c>
      <c r="H276" s="46">
        <v>1259013</v>
      </c>
      <c r="I276" s="46">
        <v>1336979</v>
      </c>
      <c r="J276">
        <v>-5.83</v>
      </c>
      <c r="K276">
        <v>1</v>
      </c>
    </row>
    <row r="277" spans="1:11" customFormat="1" hidden="1">
      <c r="A277" s="288">
        <v>5460</v>
      </c>
      <c r="B277" s="288" t="s">
        <v>2189</v>
      </c>
      <c r="C277" s="46">
        <v>71002</v>
      </c>
      <c r="D277" s="46">
        <v>67174</v>
      </c>
      <c r="E277" s="46">
        <v>73473</v>
      </c>
      <c r="F277">
        <v>5.69</v>
      </c>
      <c r="G277">
        <v>-3.36</v>
      </c>
      <c r="H277" s="46">
        <v>876340</v>
      </c>
      <c r="I277" s="46">
        <v>968910</v>
      </c>
      <c r="J277">
        <v>-9.5500000000000007</v>
      </c>
      <c r="K277">
        <v>0</v>
      </c>
    </row>
    <row r="278" spans="1:11" customFormat="1" hidden="1">
      <c r="A278">
        <v>5457</v>
      </c>
      <c r="B278" t="s">
        <v>435</v>
      </c>
      <c r="C278" s="46">
        <v>195081</v>
      </c>
      <c r="D278" s="46">
        <v>181896</v>
      </c>
      <c r="E278" s="46">
        <v>187613</v>
      </c>
      <c r="F278">
        <v>7.24</v>
      </c>
      <c r="G278">
        <v>3.98</v>
      </c>
      <c r="H278" s="46">
        <v>2125128</v>
      </c>
      <c r="I278" s="46">
        <v>1875968</v>
      </c>
      <c r="J278">
        <v>13.28</v>
      </c>
      <c r="K278">
        <v>0</v>
      </c>
    </row>
    <row r="279" spans="1:11" customFormat="1" hidden="1">
      <c r="A279">
        <v>5455</v>
      </c>
      <c r="B279" t="s">
        <v>434</v>
      </c>
      <c r="C279" s="46">
        <v>4780</v>
      </c>
      <c r="D279" s="46">
        <v>2035</v>
      </c>
      <c r="E279" s="46">
        <v>2284</v>
      </c>
      <c r="F279">
        <v>134.88</v>
      </c>
      <c r="G279">
        <v>109.28</v>
      </c>
      <c r="H279" s="46">
        <v>20003</v>
      </c>
      <c r="I279" s="46">
        <v>32251</v>
      </c>
      <c r="J279">
        <v>-37.97</v>
      </c>
      <c r="K279">
        <v>1</v>
      </c>
    </row>
    <row r="280" spans="1:11" customFormat="1" hidden="1">
      <c r="A280">
        <v>5452</v>
      </c>
      <c r="B280" t="s">
        <v>433</v>
      </c>
      <c r="C280" s="46">
        <v>504221</v>
      </c>
      <c r="D280" s="46">
        <v>437584</v>
      </c>
      <c r="E280" s="46">
        <v>506097</v>
      </c>
      <c r="F280">
        <v>15.22</v>
      </c>
      <c r="G280">
        <v>-0.37</v>
      </c>
      <c r="H280" s="46">
        <v>5182217</v>
      </c>
      <c r="I280" s="46">
        <v>6612826</v>
      </c>
      <c r="J280">
        <v>-21.63</v>
      </c>
      <c r="K280">
        <v>1</v>
      </c>
    </row>
    <row r="281" spans="1:11" customFormat="1" hidden="1">
      <c r="A281">
        <v>5450</v>
      </c>
      <c r="B281" t="s">
        <v>432</v>
      </c>
      <c r="C281" s="46">
        <v>75661</v>
      </c>
      <c r="D281" s="46">
        <v>60227</v>
      </c>
      <c r="E281" s="46">
        <v>66516</v>
      </c>
      <c r="F281">
        <v>25.62</v>
      </c>
      <c r="G281">
        <v>13.74</v>
      </c>
      <c r="H281" s="46">
        <v>692920</v>
      </c>
      <c r="I281" s="46">
        <v>763359</v>
      </c>
      <c r="J281">
        <v>-9.2200000000000006</v>
      </c>
      <c r="K281">
        <v>1</v>
      </c>
    </row>
    <row r="282" spans="1:11" customFormat="1">
      <c r="A282" s="288" t="str">
        <f>HYPERLINK("http://tw.stock.yahoo.com/q/ta?s=8436","8436")</f>
        <v>8436</v>
      </c>
      <c r="B282" s="288" t="str">
        <f>HYPERLINK("http://tw.stock.yahoo.com/d/s/earning_8436.html","大江生醫")</f>
        <v>大江生醫</v>
      </c>
      <c r="C282" s="46">
        <v>210556</v>
      </c>
      <c r="D282" s="46">
        <v>176534</v>
      </c>
      <c r="E282" s="46">
        <v>120227</v>
      </c>
      <c r="F282">
        <v>19.27</v>
      </c>
      <c r="G282">
        <v>75.13</v>
      </c>
      <c r="H282" s="46">
        <v>1855026</v>
      </c>
      <c r="I282" s="46">
        <v>1278460</v>
      </c>
      <c r="J282">
        <v>45.09</v>
      </c>
      <c r="K282">
        <v>1</v>
      </c>
    </row>
    <row r="283" spans="1:11" customFormat="1" hidden="1">
      <c r="A283">
        <v>5439</v>
      </c>
      <c r="B283" t="s">
        <v>431</v>
      </c>
      <c r="C283" s="46">
        <v>160458</v>
      </c>
      <c r="D283" s="46">
        <v>150721</v>
      </c>
      <c r="E283" s="46">
        <v>155009</v>
      </c>
      <c r="F283">
        <v>6.46</v>
      </c>
      <c r="G283">
        <v>3.51</v>
      </c>
      <c r="H283" s="46">
        <v>1690956</v>
      </c>
      <c r="I283" s="46">
        <v>1675091</v>
      </c>
      <c r="J283">
        <v>0.94</v>
      </c>
      <c r="K283">
        <v>0</v>
      </c>
    </row>
    <row r="284" spans="1:11" customFormat="1" hidden="1">
      <c r="A284">
        <v>5438</v>
      </c>
      <c r="B284" t="s">
        <v>2305</v>
      </c>
      <c r="C284" s="46">
        <v>244490</v>
      </c>
      <c r="D284" s="46">
        <v>193972</v>
      </c>
      <c r="E284" s="46">
        <v>203668</v>
      </c>
      <c r="F284">
        <v>26.04</v>
      </c>
      <c r="G284">
        <v>20.04</v>
      </c>
      <c r="H284" s="46">
        <v>2287706</v>
      </c>
      <c r="I284" s="46">
        <v>2347520</v>
      </c>
      <c r="J284">
        <v>-2.54</v>
      </c>
      <c r="K284">
        <v>1</v>
      </c>
    </row>
    <row r="285" spans="1:11" customFormat="1" hidden="1">
      <c r="A285" s="288">
        <v>5432</v>
      </c>
      <c r="B285" s="288" t="s">
        <v>2157</v>
      </c>
      <c r="C285" s="46">
        <v>9521</v>
      </c>
      <c r="D285" s="46">
        <v>9840</v>
      </c>
      <c r="E285" s="46">
        <v>9552</v>
      </c>
      <c r="F285">
        <v>-3.24</v>
      </c>
      <c r="G285">
        <v>-0.32</v>
      </c>
      <c r="H285" s="46">
        <v>113974</v>
      </c>
      <c r="I285" s="46">
        <v>131709</v>
      </c>
      <c r="J285">
        <v>-13.46</v>
      </c>
      <c r="K285">
        <v>0</v>
      </c>
    </row>
    <row r="286" spans="1:11" customFormat="1" hidden="1">
      <c r="A286">
        <v>5426</v>
      </c>
      <c r="B286" t="s">
        <v>430</v>
      </c>
      <c r="C286" s="46">
        <v>132034</v>
      </c>
      <c r="D286" s="46">
        <v>134891</v>
      </c>
      <c r="E286" s="46">
        <v>148013</v>
      </c>
      <c r="F286">
        <v>-2.11</v>
      </c>
      <c r="G286">
        <v>-10.79</v>
      </c>
      <c r="H286" s="46">
        <v>1486652</v>
      </c>
      <c r="I286" s="46">
        <v>1705726</v>
      </c>
      <c r="J286">
        <v>-12.84</v>
      </c>
      <c r="K286">
        <v>0</v>
      </c>
    </row>
    <row r="287" spans="1:11" customFormat="1" hidden="1">
      <c r="A287">
        <v>5425</v>
      </c>
      <c r="B287" t="s">
        <v>429</v>
      </c>
      <c r="C287" s="46">
        <v>651261</v>
      </c>
      <c r="D287" s="46">
        <v>733170</v>
      </c>
      <c r="E287" s="46">
        <v>595780</v>
      </c>
      <c r="F287">
        <v>-11.17</v>
      </c>
      <c r="G287">
        <v>9.31</v>
      </c>
      <c r="H287" s="46">
        <v>7068531</v>
      </c>
      <c r="I287" s="46">
        <v>7029034</v>
      </c>
      <c r="J287">
        <v>0.56000000000000005</v>
      </c>
      <c r="K287">
        <v>0</v>
      </c>
    </row>
    <row r="288" spans="1:11" customFormat="1" hidden="1">
      <c r="A288">
        <v>5410</v>
      </c>
      <c r="B288" t="s">
        <v>2370</v>
      </c>
      <c r="C288" s="46">
        <v>171199</v>
      </c>
      <c r="D288" s="46">
        <v>237693</v>
      </c>
      <c r="E288" s="46">
        <v>243228</v>
      </c>
      <c r="F288">
        <v>-27.97</v>
      </c>
      <c r="G288">
        <v>-29.61</v>
      </c>
      <c r="H288" s="46">
        <v>1959393</v>
      </c>
      <c r="I288" s="46">
        <v>2049126</v>
      </c>
      <c r="J288">
        <v>-4.37</v>
      </c>
      <c r="K288">
        <v>0</v>
      </c>
    </row>
    <row r="289" spans="1:11" customFormat="1" hidden="1">
      <c r="A289">
        <v>5403</v>
      </c>
      <c r="B289" t="s">
        <v>2222</v>
      </c>
      <c r="C289" s="46">
        <v>132097</v>
      </c>
      <c r="D289" s="46">
        <v>107794</v>
      </c>
      <c r="E289" s="46">
        <v>113622</v>
      </c>
      <c r="F289">
        <v>22.54</v>
      </c>
      <c r="G289">
        <v>16.260000000000002</v>
      </c>
      <c r="H289" s="46">
        <v>1177203</v>
      </c>
      <c r="I289" s="46">
        <v>1141717</v>
      </c>
      <c r="J289">
        <v>3.1</v>
      </c>
      <c r="K289">
        <v>1</v>
      </c>
    </row>
    <row r="290" spans="1:11" customFormat="1" hidden="1">
      <c r="A290">
        <v>5398</v>
      </c>
      <c r="B290" t="s">
        <v>428</v>
      </c>
      <c r="C290" s="46">
        <v>15266</v>
      </c>
      <c r="D290" s="46">
        <v>16465</v>
      </c>
      <c r="E290" s="46">
        <v>20899</v>
      </c>
      <c r="F290">
        <v>-7.28</v>
      </c>
      <c r="G290">
        <v>-26.95</v>
      </c>
      <c r="H290" s="46">
        <v>201465</v>
      </c>
      <c r="I290" s="46">
        <v>242506</v>
      </c>
      <c r="J290">
        <v>-16.920000000000002</v>
      </c>
      <c r="K290">
        <v>0</v>
      </c>
    </row>
    <row r="291" spans="1:11" customFormat="1" hidden="1">
      <c r="A291">
        <v>5395</v>
      </c>
      <c r="B291" t="s">
        <v>2245</v>
      </c>
      <c r="C291" s="46">
        <v>84299</v>
      </c>
      <c r="D291" s="46">
        <v>91444</v>
      </c>
      <c r="E291" s="46">
        <v>2960</v>
      </c>
      <c r="F291" s="289">
        <v>-7.81</v>
      </c>
      <c r="G291" s="289">
        <v>2747.93</v>
      </c>
      <c r="H291" s="46">
        <v>971391</v>
      </c>
      <c r="I291" s="46">
        <v>35801</v>
      </c>
      <c r="J291" s="289">
        <v>2613.3000000000002</v>
      </c>
      <c r="K291">
        <v>0</v>
      </c>
    </row>
    <row r="292" spans="1:11" customFormat="1" hidden="1">
      <c r="A292">
        <v>5392</v>
      </c>
      <c r="B292" t="s">
        <v>2324</v>
      </c>
      <c r="C292" s="46">
        <v>576527</v>
      </c>
      <c r="D292" s="46">
        <v>622874</v>
      </c>
      <c r="E292" s="46">
        <v>406674</v>
      </c>
      <c r="F292">
        <v>-7.44</v>
      </c>
      <c r="G292">
        <v>41.76</v>
      </c>
      <c r="H292" s="46">
        <v>5370720</v>
      </c>
      <c r="I292" s="46">
        <v>3456070</v>
      </c>
      <c r="J292">
        <v>55.39</v>
      </c>
      <c r="K292">
        <v>1</v>
      </c>
    </row>
    <row r="293" spans="1:11" customFormat="1" hidden="1">
      <c r="A293">
        <v>5386</v>
      </c>
      <c r="B293" t="s">
        <v>2304</v>
      </c>
      <c r="C293" s="46">
        <v>48440</v>
      </c>
      <c r="D293" s="46">
        <v>146626</v>
      </c>
      <c r="E293" s="46">
        <v>63200</v>
      </c>
      <c r="F293">
        <v>-66.959999999999994</v>
      </c>
      <c r="G293">
        <v>-23.35</v>
      </c>
      <c r="H293" s="46">
        <v>1531594</v>
      </c>
      <c r="I293" s="46">
        <v>702039</v>
      </c>
      <c r="J293">
        <v>118.16</v>
      </c>
      <c r="K293">
        <v>0</v>
      </c>
    </row>
    <row r="294" spans="1:11" customFormat="1" hidden="1">
      <c r="A294">
        <v>5384</v>
      </c>
      <c r="B294" t="s">
        <v>427</v>
      </c>
      <c r="C294" s="46">
        <v>1338398</v>
      </c>
      <c r="D294" s="46">
        <v>1054575</v>
      </c>
      <c r="E294" s="46">
        <v>952295</v>
      </c>
      <c r="F294">
        <v>26.91</v>
      </c>
      <c r="G294">
        <v>40.54</v>
      </c>
      <c r="H294" s="46">
        <v>10742125</v>
      </c>
      <c r="I294" s="46">
        <v>9777564</v>
      </c>
      <c r="J294">
        <v>9.86</v>
      </c>
      <c r="K294">
        <v>1</v>
      </c>
    </row>
    <row r="295" spans="1:11" customFormat="1" hidden="1">
      <c r="A295" s="288">
        <v>5383</v>
      </c>
      <c r="B295" s="288" t="s">
        <v>2229</v>
      </c>
      <c r="C295" s="46">
        <v>69054</v>
      </c>
      <c r="D295" s="46">
        <v>63404</v>
      </c>
      <c r="E295" s="46">
        <v>75829</v>
      </c>
      <c r="F295">
        <v>8.91</v>
      </c>
      <c r="G295" s="289">
        <v>-8.93</v>
      </c>
      <c r="H295" s="46">
        <v>775231</v>
      </c>
      <c r="I295" s="46">
        <v>944347</v>
      </c>
      <c r="J295">
        <v>-17.899999999999999</v>
      </c>
      <c r="K295">
        <v>0</v>
      </c>
    </row>
    <row r="296" spans="1:11" customFormat="1" hidden="1">
      <c r="A296" s="288">
        <v>5381</v>
      </c>
      <c r="B296" s="288" t="s">
        <v>2345</v>
      </c>
      <c r="C296" s="46">
        <v>48836</v>
      </c>
      <c r="D296" s="46">
        <v>48614</v>
      </c>
      <c r="E296" s="46">
        <v>121348</v>
      </c>
      <c r="F296">
        <v>0.45</v>
      </c>
      <c r="G296">
        <v>-59.75</v>
      </c>
      <c r="H296" s="46">
        <v>948699</v>
      </c>
      <c r="I296" s="46">
        <v>1258449</v>
      </c>
      <c r="J296">
        <v>-24.61</v>
      </c>
      <c r="K296">
        <v>0</v>
      </c>
    </row>
    <row r="297" spans="1:11" customFormat="1" hidden="1">
      <c r="A297" s="288">
        <v>5371</v>
      </c>
      <c r="B297" s="288" t="s">
        <v>426</v>
      </c>
      <c r="C297" s="46">
        <v>5527939</v>
      </c>
      <c r="D297" s="46">
        <v>6087819</v>
      </c>
      <c r="E297" s="46">
        <v>6188109</v>
      </c>
      <c r="F297">
        <v>-9.19</v>
      </c>
      <c r="G297">
        <v>-10.66</v>
      </c>
      <c r="H297" s="46">
        <v>62697665</v>
      </c>
      <c r="I297" s="46">
        <v>74774679</v>
      </c>
      <c r="J297">
        <v>-16.149999999999999</v>
      </c>
      <c r="K297">
        <v>0</v>
      </c>
    </row>
    <row r="298" spans="1:11" customFormat="1" hidden="1">
      <c r="A298">
        <v>5364</v>
      </c>
      <c r="B298" t="s">
        <v>425</v>
      </c>
      <c r="C298" s="46">
        <v>40926</v>
      </c>
      <c r="D298" s="46">
        <v>43312</v>
      </c>
      <c r="E298" s="46">
        <v>19133</v>
      </c>
      <c r="F298">
        <v>-5.5</v>
      </c>
      <c r="G298">
        <v>113.9</v>
      </c>
      <c r="H298" s="46">
        <v>401211</v>
      </c>
      <c r="I298" s="46">
        <v>114801</v>
      </c>
      <c r="J298">
        <v>249.48</v>
      </c>
      <c r="K298">
        <v>1</v>
      </c>
    </row>
    <row r="299" spans="1:11" customFormat="1" hidden="1">
      <c r="A299" s="288">
        <v>5356</v>
      </c>
      <c r="B299" s="288" t="s">
        <v>2146</v>
      </c>
      <c r="C299" s="46">
        <v>813475</v>
      </c>
      <c r="D299" s="46">
        <v>657196</v>
      </c>
      <c r="E299" s="46">
        <v>910643</v>
      </c>
      <c r="F299">
        <v>23.77</v>
      </c>
      <c r="G299">
        <v>-10.67</v>
      </c>
      <c r="H299" s="46">
        <v>8559144</v>
      </c>
      <c r="I299" s="46">
        <v>8668234</v>
      </c>
      <c r="J299">
        <v>-1.25</v>
      </c>
      <c r="K299">
        <v>0</v>
      </c>
    </row>
    <row r="300" spans="1:11" customFormat="1" hidden="1">
      <c r="A300">
        <v>5355</v>
      </c>
      <c r="B300" t="s">
        <v>424</v>
      </c>
      <c r="C300" s="46">
        <v>92636</v>
      </c>
      <c r="D300" s="46">
        <v>90269</v>
      </c>
      <c r="E300" s="46">
        <v>153454</v>
      </c>
      <c r="F300">
        <v>2.62</v>
      </c>
      <c r="G300">
        <v>-39.630000000000003</v>
      </c>
      <c r="H300" s="46">
        <v>1270233</v>
      </c>
      <c r="I300" s="46">
        <v>1500945</v>
      </c>
      <c r="J300">
        <v>-15.37</v>
      </c>
      <c r="K300">
        <v>0</v>
      </c>
    </row>
    <row r="301" spans="1:11" customFormat="1" hidden="1">
      <c r="A301">
        <v>5353</v>
      </c>
      <c r="B301" t="s">
        <v>2331</v>
      </c>
      <c r="C301" s="46">
        <v>72258</v>
      </c>
      <c r="D301" s="46">
        <v>92141</v>
      </c>
      <c r="E301" s="46">
        <v>101873</v>
      </c>
      <c r="F301">
        <v>-21.57</v>
      </c>
      <c r="G301">
        <v>-29.07</v>
      </c>
      <c r="H301" s="46">
        <v>983614</v>
      </c>
      <c r="I301" s="46">
        <v>1126498</v>
      </c>
      <c r="J301">
        <v>-12.68</v>
      </c>
      <c r="K301">
        <v>0</v>
      </c>
    </row>
    <row r="302" spans="1:11" customFormat="1" hidden="1">
      <c r="A302">
        <v>5351</v>
      </c>
      <c r="B302" t="s">
        <v>2130</v>
      </c>
      <c r="C302" s="46">
        <v>581168</v>
      </c>
      <c r="D302" s="46">
        <v>575825</v>
      </c>
      <c r="E302" s="46">
        <v>654226</v>
      </c>
      <c r="F302">
        <v>0.92</v>
      </c>
      <c r="G302">
        <v>-11.16</v>
      </c>
      <c r="H302" s="46">
        <v>6838553</v>
      </c>
      <c r="I302" s="46">
        <v>6907989</v>
      </c>
      <c r="J302">
        <v>-1</v>
      </c>
      <c r="K302">
        <v>0</v>
      </c>
    </row>
    <row r="303" spans="1:11" customFormat="1" hidden="1">
      <c r="A303" s="288">
        <v>5349</v>
      </c>
      <c r="B303" s="288" t="s">
        <v>2188</v>
      </c>
      <c r="C303" s="46">
        <v>628414</v>
      </c>
      <c r="D303" s="46">
        <v>642005</v>
      </c>
      <c r="E303" s="46">
        <v>768373</v>
      </c>
      <c r="F303">
        <v>-2.11</v>
      </c>
      <c r="G303">
        <v>-18.21</v>
      </c>
      <c r="H303" s="46">
        <v>7198115</v>
      </c>
      <c r="I303" s="46">
        <v>7406321</v>
      </c>
      <c r="J303">
        <v>-2.81</v>
      </c>
      <c r="K303">
        <v>0</v>
      </c>
    </row>
    <row r="304" spans="1:11" customFormat="1" hidden="1">
      <c r="A304">
        <v>5348</v>
      </c>
      <c r="B304" t="s">
        <v>2330</v>
      </c>
      <c r="C304" s="46">
        <v>13462</v>
      </c>
      <c r="D304" s="46">
        <v>25131</v>
      </c>
      <c r="E304" s="46">
        <v>17299</v>
      </c>
      <c r="F304">
        <v>-46.43</v>
      </c>
      <c r="G304">
        <v>-22.18</v>
      </c>
      <c r="H304" s="46">
        <v>184201</v>
      </c>
      <c r="I304" s="46">
        <v>186312</v>
      </c>
      <c r="J304">
        <v>-1.1299999999999999</v>
      </c>
      <c r="K304">
        <v>0</v>
      </c>
    </row>
    <row r="305" spans="1:11" customFormat="1" hidden="1">
      <c r="A305">
        <v>5347</v>
      </c>
      <c r="B305" t="s">
        <v>423</v>
      </c>
      <c r="C305" s="46">
        <v>1784648</v>
      </c>
      <c r="D305" s="46">
        <v>1897237</v>
      </c>
      <c r="E305" s="46">
        <v>1972562</v>
      </c>
      <c r="F305">
        <v>-5.93</v>
      </c>
      <c r="G305">
        <v>-9.52</v>
      </c>
      <c r="H305" s="46">
        <v>21519609</v>
      </c>
      <c r="I305" s="46">
        <v>21637558</v>
      </c>
      <c r="J305">
        <v>-0.54</v>
      </c>
      <c r="K305">
        <v>0</v>
      </c>
    </row>
    <row r="306" spans="1:11" customFormat="1" hidden="1">
      <c r="A306">
        <v>5345</v>
      </c>
      <c r="B306" t="s">
        <v>422</v>
      </c>
      <c r="C306" s="46">
        <v>10655</v>
      </c>
      <c r="D306" s="46">
        <v>9352</v>
      </c>
      <c r="E306" s="46">
        <v>22749</v>
      </c>
      <c r="F306">
        <v>13.93</v>
      </c>
      <c r="G306">
        <v>-53.16</v>
      </c>
      <c r="H306" s="46">
        <v>117186</v>
      </c>
      <c r="I306" s="46">
        <v>187844</v>
      </c>
      <c r="J306">
        <v>-37.61</v>
      </c>
      <c r="K306">
        <v>0</v>
      </c>
    </row>
    <row r="307" spans="1:11" customFormat="1" hidden="1">
      <c r="A307" s="288">
        <v>5344</v>
      </c>
      <c r="B307" s="288" t="s">
        <v>2129</v>
      </c>
      <c r="C307" s="46">
        <v>12686</v>
      </c>
      <c r="D307" s="46">
        <v>10517</v>
      </c>
      <c r="E307" s="46">
        <v>10813</v>
      </c>
      <c r="F307">
        <v>20.62</v>
      </c>
      <c r="G307">
        <v>17.32</v>
      </c>
      <c r="H307" s="46">
        <v>118888</v>
      </c>
      <c r="I307" s="46">
        <v>131361</v>
      </c>
      <c r="J307">
        <v>-9.49</v>
      </c>
      <c r="K307">
        <v>1</v>
      </c>
    </row>
    <row r="308" spans="1:11" customFormat="1" hidden="1">
      <c r="A308" s="288">
        <v>5340</v>
      </c>
      <c r="B308" s="288" t="s">
        <v>2344</v>
      </c>
      <c r="C308" s="46">
        <v>71340</v>
      </c>
      <c r="D308" s="46">
        <v>70891</v>
      </c>
      <c r="E308" s="46">
        <v>69577</v>
      </c>
      <c r="F308">
        <v>0.63</v>
      </c>
      <c r="G308">
        <v>2.5299999999999998</v>
      </c>
      <c r="H308" s="46">
        <v>857987</v>
      </c>
      <c r="I308" s="46">
        <v>946667</v>
      </c>
      <c r="J308">
        <v>-9.36</v>
      </c>
      <c r="K308">
        <v>0</v>
      </c>
    </row>
    <row r="309" spans="1:11" customFormat="1" hidden="1">
      <c r="A309">
        <v>5328</v>
      </c>
      <c r="B309" t="s">
        <v>2343</v>
      </c>
      <c r="C309" s="46">
        <v>101202</v>
      </c>
      <c r="D309" s="46">
        <v>95368</v>
      </c>
      <c r="E309" s="46">
        <v>94016</v>
      </c>
      <c r="F309">
        <v>6.11</v>
      </c>
      <c r="G309">
        <v>7.64</v>
      </c>
      <c r="H309" s="46">
        <v>959861</v>
      </c>
      <c r="I309" s="46">
        <v>1114535</v>
      </c>
      <c r="J309">
        <v>-13.87</v>
      </c>
      <c r="K309">
        <v>1</v>
      </c>
    </row>
    <row r="310" spans="1:11" customFormat="1" hidden="1">
      <c r="A310" s="288">
        <v>5324</v>
      </c>
      <c r="B310" s="288" t="s">
        <v>421</v>
      </c>
      <c r="C310" s="46">
        <v>11501</v>
      </c>
      <c r="D310" s="46">
        <v>11823</v>
      </c>
      <c r="E310" s="46">
        <v>10919</v>
      </c>
      <c r="F310">
        <v>-2.72</v>
      </c>
      <c r="G310">
        <v>5.33</v>
      </c>
      <c r="H310" s="46">
        <v>130434</v>
      </c>
      <c r="I310" s="46">
        <v>156077</v>
      </c>
      <c r="J310">
        <v>-16.420000000000002</v>
      </c>
      <c r="K310">
        <v>0</v>
      </c>
    </row>
    <row r="311" spans="1:11" customFormat="1" hidden="1">
      <c r="A311">
        <v>5321</v>
      </c>
      <c r="B311" t="s">
        <v>2187</v>
      </c>
      <c r="C311" s="46">
        <v>75699</v>
      </c>
      <c r="D311" s="46">
        <v>91336</v>
      </c>
      <c r="E311" s="46">
        <v>122318</v>
      </c>
      <c r="F311">
        <v>-17.12</v>
      </c>
      <c r="G311">
        <v>-38.11</v>
      </c>
      <c r="H311" s="46">
        <v>1036887</v>
      </c>
      <c r="I311" s="46">
        <v>970692</v>
      </c>
      <c r="J311">
        <v>6.81</v>
      </c>
      <c r="K311">
        <v>0</v>
      </c>
    </row>
    <row r="312" spans="1:11" customFormat="1" hidden="1">
      <c r="A312">
        <v>5317</v>
      </c>
      <c r="B312" t="s">
        <v>420</v>
      </c>
      <c r="C312" s="46">
        <v>126880</v>
      </c>
      <c r="D312" s="46">
        <v>129564</v>
      </c>
      <c r="E312" s="46">
        <v>143379</v>
      </c>
      <c r="F312">
        <v>-2.0699999999999998</v>
      </c>
      <c r="G312">
        <v>-11.5</v>
      </c>
      <c r="H312" s="46">
        <v>1493829</v>
      </c>
      <c r="I312" s="46">
        <v>1647283</v>
      </c>
      <c r="J312">
        <v>-9.31</v>
      </c>
      <c r="K312">
        <v>0</v>
      </c>
    </row>
    <row r="313" spans="1:11" customFormat="1" hidden="1">
      <c r="A313">
        <v>5315</v>
      </c>
      <c r="B313" t="s">
        <v>2323</v>
      </c>
      <c r="C313" s="46">
        <v>232756</v>
      </c>
      <c r="D313" s="46">
        <v>230783</v>
      </c>
      <c r="E313" s="46">
        <v>202447</v>
      </c>
      <c r="F313">
        <v>0.85</v>
      </c>
      <c r="G313">
        <v>14.97</v>
      </c>
      <c r="H313" s="46">
        <v>2427610</v>
      </c>
      <c r="I313" s="46">
        <v>2051117</v>
      </c>
      <c r="J313">
        <v>18.350000000000001</v>
      </c>
      <c r="K313">
        <v>1</v>
      </c>
    </row>
    <row r="314" spans="1:11" customFormat="1" hidden="1">
      <c r="A314">
        <v>5314</v>
      </c>
      <c r="B314" t="s">
        <v>2128</v>
      </c>
      <c r="C314" s="46">
        <v>13057</v>
      </c>
      <c r="D314" s="46">
        <v>11930</v>
      </c>
      <c r="E314" s="46">
        <v>12263</v>
      </c>
      <c r="F314">
        <v>9.44</v>
      </c>
      <c r="G314">
        <v>6.47</v>
      </c>
      <c r="H314" s="46">
        <v>145415</v>
      </c>
      <c r="I314" s="46">
        <v>201189</v>
      </c>
      <c r="J314">
        <v>-27.72</v>
      </c>
      <c r="K314">
        <v>0</v>
      </c>
    </row>
    <row r="315" spans="1:11" customFormat="1" hidden="1">
      <c r="A315">
        <v>5312</v>
      </c>
      <c r="B315" t="s">
        <v>419</v>
      </c>
      <c r="C315" s="46">
        <v>198628</v>
      </c>
      <c r="D315" s="46">
        <v>223099</v>
      </c>
      <c r="E315" s="46">
        <v>188014</v>
      </c>
      <c r="F315">
        <v>-10.96</v>
      </c>
      <c r="G315">
        <v>5.64</v>
      </c>
      <c r="H315" s="46">
        <v>2337742</v>
      </c>
      <c r="I315" s="46">
        <v>2206513</v>
      </c>
      <c r="J315">
        <v>5.94</v>
      </c>
      <c r="K315">
        <v>0</v>
      </c>
    </row>
    <row r="316" spans="1:11" customFormat="1" hidden="1">
      <c r="A316" s="288">
        <v>5310</v>
      </c>
      <c r="B316" s="288" t="s">
        <v>2369</v>
      </c>
      <c r="C316" s="46">
        <v>23727</v>
      </c>
      <c r="D316" s="46">
        <v>27575</v>
      </c>
      <c r="E316" s="46">
        <v>30581</v>
      </c>
      <c r="F316">
        <v>-13.95</v>
      </c>
      <c r="G316">
        <v>-22.41</v>
      </c>
      <c r="H316" s="46">
        <v>245884</v>
      </c>
      <c r="I316" s="46">
        <v>256408</v>
      </c>
      <c r="J316">
        <v>-4.0999999999999996</v>
      </c>
      <c r="K316">
        <v>1</v>
      </c>
    </row>
    <row r="317" spans="1:11" customFormat="1" hidden="1">
      <c r="A317">
        <v>5309</v>
      </c>
      <c r="B317" t="s">
        <v>2342</v>
      </c>
      <c r="C317" s="46">
        <v>271026</v>
      </c>
      <c r="D317" s="46">
        <v>259772</v>
      </c>
      <c r="E317" s="46">
        <v>156201</v>
      </c>
      <c r="F317">
        <v>4.33</v>
      </c>
      <c r="G317">
        <v>73.510000000000005</v>
      </c>
      <c r="H317" s="46">
        <v>1669863</v>
      </c>
      <c r="I317" s="46">
        <v>1915950</v>
      </c>
      <c r="J317">
        <v>-12.84</v>
      </c>
      <c r="K317">
        <v>1</v>
      </c>
    </row>
    <row r="318" spans="1:11" customFormat="1">
      <c r="A318" s="288" t="str">
        <f>HYPERLINK("http://tw.stock.yahoo.com/q/ta?s=8409","8409")</f>
        <v>8409</v>
      </c>
      <c r="B318" s="288" t="str">
        <f>HYPERLINK("http://tw.stock.yahoo.com/d/s/earning_8409.html","商之器")</f>
        <v>商之器</v>
      </c>
      <c r="C318" s="46">
        <v>22051</v>
      </c>
      <c r="D318" s="46">
        <v>16032</v>
      </c>
      <c r="E318" s="46">
        <v>19772</v>
      </c>
      <c r="F318">
        <v>37.54</v>
      </c>
      <c r="G318">
        <v>11.52</v>
      </c>
      <c r="H318" s="46">
        <v>205933</v>
      </c>
      <c r="I318" s="46">
        <v>142585</v>
      </c>
      <c r="J318">
        <v>44.42</v>
      </c>
      <c r="K318">
        <v>1</v>
      </c>
    </row>
    <row r="319" spans="1:11" customFormat="1" hidden="1">
      <c r="A319" s="288">
        <v>5304</v>
      </c>
      <c r="B319" s="288" t="s">
        <v>418</v>
      </c>
      <c r="C319" s="46">
        <v>60915</v>
      </c>
      <c r="D319" s="46">
        <v>69008</v>
      </c>
      <c r="E319" s="46">
        <v>63421</v>
      </c>
      <c r="F319">
        <v>-11.72</v>
      </c>
      <c r="G319">
        <v>-3.95</v>
      </c>
      <c r="H319" s="46">
        <v>754101</v>
      </c>
      <c r="I319" s="46">
        <v>653929</v>
      </c>
      <c r="J319">
        <v>15.31</v>
      </c>
      <c r="K319">
        <v>0</v>
      </c>
    </row>
    <row r="320" spans="1:11" customFormat="1" hidden="1">
      <c r="A320" s="288">
        <v>5302</v>
      </c>
      <c r="B320" s="288" t="s">
        <v>417</v>
      </c>
      <c r="C320" s="46">
        <v>19335</v>
      </c>
      <c r="D320" s="46">
        <v>14997</v>
      </c>
      <c r="E320" s="46">
        <v>14020</v>
      </c>
      <c r="F320">
        <v>28.92</v>
      </c>
      <c r="G320">
        <v>37.909999999999997</v>
      </c>
      <c r="H320" s="46">
        <v>194318</v>
      </c>
      <c r="I320" s="46">
        <v>170454</v>
      </c>
      <c r="J320">
        <v>14</v>
      </c>
      <c r="K320">
        <v>1</v>
      </c>
    </row>
    <row r="321" spans="1:11" customFormat="1" hidden="1">
      <c r="A321">
        <v>5301</v>
      </c>
      <c r="B321" t="s">
        <v>416</v>
      </c>
      <c r="C321" s="46">
        <v>221489</v>
      </c>
      <c r="D321" s="46">
        <v>211297</v>
      </c>
      <c r="E321" s="46">
        <v>192289</v>
      </c>
      <c r="F321">
        <v>4.82</v>
      </c>
      <c r="G321">
        <v>15.18</v>
      </c>
      <c r="H321" s="46">
        <v>2129934</v>
      </c>
      <c r="I321" s="46">
        <v>1687741</v>
      </c>
      <c r="J321">
        <v>26.2</v>
      </c>
      <c r="K321">
        <v>1</v>
      </c>
    </row>
    <row r="322" spans="1:11" customFormat="1" hidden="1">
      <c r="A322" s="288">
        <v>5291</v>
      </c>
      <c r="B322" s="288" t="s">
        <v>415</v>
      </c>
      <c r="C322" s="46">
        <v>82017</v>
      </c>
      <c r="D322" s="46">
        <v>73048</v>
      </c>
      <c r="E322" s="46">
        <v>95894</v>
      </c>
      <c r="F322">
        <v>12.27</v>
      </c>
      <c r="G322">
        <v>-14.47</v>
      </c>
      <c r="H322" s="46">
        <v>956452</v>
      </c>
      <c r="I322" s="46">
        <v>1411959</v>
      </c>
      <c r="J322">
        <v>-32.26</v>
      </c>
      <c r="K322">
        <v>0</v>
      </c>
    </row>
    <row r="323" spans="1:11" customFormat="1">
      <c r="A323" s="288" t="str">
        <f>HYPERLINK("http://tw.stock.yahoo.com/q/ta?s=5443","5443")</f>
        <v>5443</v>
      </c>
      <c r="B323" s="288" t="str">
        <f>HYPERLINK("http://tw.stock.yahoo.com/d/s/earning_5443.html","均豪精密")</f>
        <v>均豪精密</v>
      </c>
      <c r="C323" s="46">
        <v>347496</v>
      </c>
      <c r="D323" s="46">
        <v>321557</v>
      </c>
      <c r="E323" s="46">
        <v>254199</v>
      </c>
      <c r="F323">
        <v>8.06</v>
      </c>
      <c r="G323">
        <v>36.700000000000003</v>
      </c>
      <c r="H323" s="46">
        <v>3362067</v>
      </c>
      <c r="I323" s="46">
        <v>2385279</v>
      </c>
      <c r="J323">
        <v>40.950000000000003</v>
      </c>
      <c r="K323">
        <v>1</v>
      </c>
    </row>
    <row r="324" spans="1:11" customFormat="1" hidden="1">
      <c r="A324">
        <v>5287</v>
      </c>
      <c r="B324" t="s">
        <v>414</v>
      </c>
      <c r="C324" s="46">
        <v>105243</v>
      </c>
      <c r="D324" s="46">
        <v>113377</v>
      </c>
      <c r="E324" s="46">
        <v>107733</v>
      </c>
      <c r="F324">
        <v>-7.17</v>
      </c>
      <c r="G324">
        <v>-2.31</v>
      </c>
      <c r="H324" s="46">
        <v>1245370</v>
      </c>
      <c r="I324" s="46">
        <v>1041295</v>
      </c>
      <c r="J324">
        <v>19.59</v>
      </c>
      <c r="K324">
        <v>0</v>
      </c>
    </row>
    <row r="325" spans="1:11" customFormat="1" hidden="1">
      <c r="A325" s="288">
        <v>5278</v>
      </c>
      <c r="B325" s="288" t="s">
        <v>413</v>
      </c>
      <c r="C325" s="46">
        <v>23790</v>
      </c>
      <c r="D325" s="46">
        <v>24992</v>
      </c>
      <c r="E325" s="46">
        <v>18663</v>
      </c>
      <c r="F325">
        <v>-4.8</v>
      </c>
      <c r="G325">
        <v>27.47</v>
      </c>
      <c r="H325" s="46">
        <v>220300</v>
      </c>
      <c r="I325" s="46">
        <v>244693</v>
      </c>
      <c r="J325">
        <v>-9.9600000000000009</v>
      </c>
      <c r="K325">
        <v>1</v>
      </c>
    </row>
    <row r="326" spans="1:11" customFormat="1" hidden="1">
      <c r="A326">
        <v>5274</v>
      </c>
      <c r="B326" t="s">
        <v>2294</v>
      </c>
      <c r="C326" s="46">
        <v>85998</v>
      </c>
      <c r="D326" s="46">
        <v>85278</v>
      </c>
      <c r="E326" s="46">
        <v>82308</v>
      </c>
      <c r="F326">
        <v>0.84</v>
      </c>
      <c r="G326">
        <v>4.4800000000000004</v>
      </c>
      <c r="H326" s="46">
        <v>905543</v>
      </c>
      <c r="I326" s="46">
        <v>771240</v>
      </c>
      <c r="J326">
        <v>17.41</v>
      </c>
      <c r="K326">
        <v>0</v>
      </c>
    </row>
    <row r="327" spans="1:11" customFormat="1" hidden="1">
      <c r="A327">
        <v>5272</v>
      </c>
      <c r="B327" t="s">
        <v>412</v>
      </c>
      <c r="C327" s="46">
        <v>59342</v>
      </c>
      <c r="D327" s="46">
        <v>52396</v>
      </c>
      <c r="E327" s="46">
        <v>76134</v>
      </c>
      <c r="F327">
        <v>13.25</v>
      </c>
      <c r="G327">
        <v>-22.05</v>
      </c>
      <c r="H327" s="46">
        <v>551789</v>
      </c>
      <c r="I327" s="46">
        <v>672230</v>
      </c>
      <c r="J327">
        <v>-17.91</v>
      </c>
      <c r="K327">
        <v>1</v>
      </c>
    </row>
    <row r="328" spans="1:11" customFormat="1" hidden="1">
      <c r="A328">
        <v>5263</v>
      </c>
      <c r="B328" t="s">
        <v>2407</v>
      </c>
      <c r="C328" s="46">
        <v>61891</v>
      </c>
      <c r="D328" s="46">
        <v>72494</v>
      </c>
      <c r="E328" s="46">
        <v>35148</v>
      </c>
      <c r="F328">
        <v>-14.62</v>
      </c>
      <c r="G328">
        <v>76.08</v>
      </c>
      <c r="H328" s="46">
        <v>639359</v>
      </c>
      <c r="I328" s="46">
        <v>797950</v>
      </c>
      <c r="J328">
        <v>-19.87</v>
      </c>
      <c r="K328">
        <v>1</v>
      </c>
    </row>
    <row r="329" spans="1:11" customFormat="1" hidden="1">
      <c r="A329" s="288">
        <v>5255</v>
      </c>
      <c r="B329" s="288" t="s">
        <v>411</v>
      </c>
      <c r="C329" s="46">
        <v>105674</v>
      </c>
      <c r="D329" s="46">
        <v>101073</v>
      </c>
      <c r="E329" s="46">
        <v>94135</v>
      </c>
      <c r="F329">
        <v>4.55</v>
      </c>
      <c r="G329">
        <v>12.25</v>
      </c>
      <c r="H329" s="46">
        <v>1053431</v>
      </c>
      <c r="I329" s="46">
        <v>1163901</v>
      </c>
      <c r="J329">
        <v>-9.49</v>
      </c>
      <c r="K329">
        <v>1</v>
      </c>
    </row>
    <row r="330" spans="1:11" customFormat="1" hidden="1">
      <c r="A330">
        <v>5251</v>
      </c>
      <c r="B330" t="s">
        <v>410</v>
      </c>
      <c r="C330" s="46">
        <v>63207</v>
      </c>
      <c r="D330" s="46">
        <v>27686</v>
      </c>
      <c r="E330" s="46">
        <v>67374</v>
      </c>
      <c r="F330">
        <v>128.29</v>
      </c>
      <c r="G330">
        <v>-6.18</v>
      </c>
      <c r="H330" s="46">
        <v>608620</v>
      </c>
      <c r="I330" s="46">
        <v>878671</v>
      </c>
      <c r="J330">
        <v>-30.73</v>
      </c>
      <c r="K330">
        <v>1</v>
      </c>
    </row>
    <row r="331" spans="1:11" customFormat="1" hidden="1">
      <c r="A331" s="288">
        <v>5245</v>
      </c>
      <c r="B331" s="288" t="s">
        <v>409</v>
      </c>
      <c r="C331" s="46">
        <v>140727</v>
      </c>
      <c r="D331" s="46">
        <v>134105</v>
      </c>
      <c r="E331" s="46">
        <v>80610</v>
      </c>
      <c r="F331">
        <v>4.93</v>
      </c>
      <c r="G331">
        <v>74.569999999999993</v>
      </c>
      <c r="H331" s="46">
        <v>1137420</v>
      </c>
      <c r="I331" s="46">
        <v>877234</v>
      </c>
      <c r="J331">
        <v>29.65</v>
      </c>
      <c r="K331">
        <v>1</v>
      </c>
    </row>
    <row r="332" spans="1:11" customFormat="1" hidden="1">
      <c r="A332" s="288">
        <v>5230</v>
      </c>
      <c r="B332" s="288" t="s">
        <v>408</v>
      </c>
      <c r="C332" s="46">
        <v>131657</v>
      </c>
      <c r="D332" s="46">
        <v>123991</v>
      </c>
      <c r="E332" s="46">
        <v>108323</v>
      </c>
      <c r="F332">
        <v>6.18</v>
      </c>
      <c r="G332">
        <v>21.54</v>
      </c>
      <c r="H332" s="46">
        <v>1325444</v>
      </c>
      <c r="I332" s="46">
        <v>1221725</v>
      </c>
      <c r="J332">
        <v>8.48</v>
      </c>
      <c r="K332">
        <v>1</v>
      </c>
    </row>
    <row r="333" spans="1:11" customFormat="1" hidden="1">
      <c r="A333" s="288">
        <v>5213</v>
      </c>
      <c r="B333" s="288" t="s">
        <v>2387</v>
      </c>
      <c r="C333" s="46">
        <v>88001</v>
      </c>
      <c r="D333" s="46">
        <v>6602</v>
      </c>
      <c r="E333" s="46">
        <v>32242</v>
      </c>
      <c r="F333" s="289">
        <v>1232.94</v>
      </c>
      <c r="G333">
        <v>172.93</v>
      </c>
      <c r="H333" s="46">
        <v>2691411</v>
      </c>
      <c r="I333" s="46">
        <v>840621</v>
      </c>
      <c r="J333">
        <v>220.16</v>
      </c>
      <c r="K333">
        <v>0</v>
      </c>
    </row>
    <row r="334" spans="1:11" customFormat="1" hidden="1">
      <c r="A334">
        <v>5212</v>
      </c>
      <c r="B334" t="s">
        <v>2368</v>
      </c>
      <c r="C334" s="46">
        <v>56847</v>
      </c>
      <c r="D334" s="46">
        <v>59442</v>
      </c>
      <c r="E334" s="46">
        <v>54509</v>
      </c>
      <c r="F334">
        <v>-4.3600000000000003</v>
      </c>
      <c r="G334">
        <v>4.28</v>
      </c>
      <c r="H334" s="46">
        <v>536115</v>
      </c>
      <c r="I334" s="46">
        <v>489377</v>
      </c>
      <c r="J334">
        <v>9.5500000000000007</v>
      </c>
      <c r="K334">
        <v>1</v>
      </c>
    </row>
    <row r="335" spans="1:11" customFormat="1" hidden="1">
      <c r="A335">
        <v>5211</v>
      </c>
      <c r="B335" t="s">
        <v>407</v>
      </c>
      <c r="C335" s="46">
        <v>22291</v>
      </c>
      <c r="D335" s="46">
        <v>21560</v>
      </c>
      <c r="E335" s="46">
        <v>23346</v>
      </c>
      <c r="F335">
        <v>3.39</v>
      </c>
      <c r="G335">
        <v>-4.51</v>
      </c>
      <c r="H335" s="46">
        <v>243208</v>
      </c>
      <c r="I335" s="46">
        <v>279119</v>
      </c>
      <c r="J335">
        <v>-12.86</v>
      </c>
      <c r="K335">
        <v>0</v>
      </c>
    </row>
    <row r="336" spans="1:11" customFormat="1" hidden="1">
      <c r="A336" s="288">
        <v>5210</v>
      </c>
      <c r="B336" s="288" t="s">
        <v>406</v>
      </c>
      <c r="C336" s="46">
        <v>25171</v>
      </c>
      <c r="D336" s="46">
        <v>26851</v>
      </c>
      <c r="E336" s="46">
        <v>26535</v>
      </c>
      <c r="F336">
        <v>-6.25</v>
      </c>
      <c r="G336">
        <v>-5.14</v>
      </c>
      <c r="H336" s="46">
        <v>278796</v>
      </c>
      <c r="I336" s="46">
        <v>300184</v>
      </c>
      <c r="J336">
        <v>-7.12</v>
      </c>
      <c r="K336">
        <v>0</v>
      </c>
    </row>
    <row r="337" spans="1:11" customFormat="1" hidden="1">
      <c r="A337">
        <v>5209</v>
      </c>
      <c r="B337" t="s">
        <v>2367</v>
      </c>
      <c r="C337" s="46">
        <v>99808</v>
      </c>
      <c r="D337" s="46">
        <v>113255</v>
      </c>
      <c r="E337" s="46">
        <v>176797</v>
      </c>
      <c r="F337">
        <v>-11.87</v>
      </c>
      <c r="G337">
        <v>-43.54</v>
      </c>
      <c r="H337" s="46">
        <v>1286697</v>
      </c>
      <c r="I337" s="46">
        <v>1180044</v>
      </c>
      <c r="J337">
        <v>9.0299999999999994</v>
      </c>
      <c r="K337">
        <v>0</v>
      </c>
    </row>
    <row r="338" spans="1:11" customFormat="1" hidden="1">
      <c r="A338">
        <v>5206</v>
      </c>
      <c r="B338" t="s">
        <v>405</v>
      </c>
      <c r="C338" s="46">
        <v>185494</v>
      </c>
      <c r="D338" s="46">
        <v>564233</v>
      </c>
      <c r="E338" s="46">
        <v>25247</v>
      </c>
      <c r="F338">
        <v>-67.12</v>
      </c>
      <c r="G338">
        <v>634.71</v>
      </c>
      <c r="H338" s="46">
        <v>1632516</v>
      </c>
      <c r="I338" s="46">
        <v>683116</v>
      </c>
      <c r="J338">
        <v>138.97999999999999</v>
      </c>
      <c r="K338">
        <v>1</v>
      </c>
    </row>
    <row r="339" spans="1:11" customFormat="1" hidden="1">
      <c r="A339">
        <v>5205</v>
      </c>
      <c r="B339" t="s">
        <v>2228</v>
      </c>
      <c r="C339" s="46">
        <v>3</v>
      </c>
      <c r="D339" s="46">
        <v>54</v>
      </c>
      <c r="E339" s="46">
        <v>83</v>
      </c>
      <c r="F339">
        <v>-94.44</v>
      </c>
      <c r="G339">
        <v>-96.38</v>
      </c>
      <c r="H339" s="46">
        <v>1971</v>
      </c>
      <c r="I339" s="46">
        <v>6510</v>
      </c>
      <c r="J339">
        <v>-69.72</v>
      </c>
      <c r="K339">
        <v>0</v>
      </c>
    </row>
    <row r="340" spans="1:11" customFormat="1" hidden="1">
      <c r="A340" s="288">
        <v>5202</v>
      </c>
      <c r="B340" s="288" t="s">
        <v>2366</v>
      </c>
      <c r="C340" s="46">
        <v>18423</v>
      </c>
      <c r="D340" s="46">
        <v>25889</v>
      </c>
      <c r="E340" s="46">
        <v>17477</v>
      </c>
      <c r="F340">
        <v>-28.83</v>
      </c>
      <c r="G340">
        <v>5.41</v>
      </c>
      <c r="H340" s="46">
        <v>251037</v>
      </c>
      <c r="I340" s="46">
        <v>235725</v>
      </c>
      <c r="J340">
        <v>6.49</v>
      </c>
      <c r="K340">
        <v>0</v>
      </c>
    </row>
    <row r="341" spans="1:11" customFormat="1" hidden="1">
      <c r="A341">
        <v>5201</v>
      </c>
      <c r="B341" t="s">
        <v>2365</v>
      </c>
      <c r="C341" s="46">
        <v>20343</v>
      </c>
      <c r="D341" s="46">
        <v>24731</v>
      </c>
      <c r="E341" s="46">
        <v>23070</v>
      </c>
      <c r="F341">
        <v>-17.739999999999998</v>
      </c>
      <c r="G341">
        <v>-11.82</v>
      </c>
      <c r="H341" s="46">
        <v>234282</v>
      </c>
      <c r="I341" s="46">
        <v>233294</v>
      </c>
      <c r="J341">
        <v>0.42</v>
      </c>
      <c r="K341">
        <v>0</v>
      </c>
    </row>
    <row r="342" spans="1:11" customFormat="1" hidden="1">
      <c r="A342" s="288">
        <v>5102</v>
      </c>
      <c r="B342" s="288" t="s">
        <v>404</v>
      </c>
      <c r="C342" s="46">
        <v>56541</v>
      </c>
      <c r="D342" s="46">
        <v>52723</v>
      </c>
      <c r="E342" s="46">
        <v>108741</v>
      </c>
      <c r="F342">
        <v>7.24</v>
      </c>
      <c r="G342">
        <v>-48</v>
      </c>
      <c r="H342" s="46">
        <v>642056</v>
      </c>
      <c r="I342" s="46">
        <v>910170</v>
      </c>
      <c r="J342">
        <v>-29.45</v>
      </c>
      <c r="K342">
        <v>0</v>
      </c>
    </row>
    <row r="343" spans="1:11" customFormat="1" hidden="1">
      <c r="A343">
        <v>5016</v>
      </c>
      <c r="B343" t="s">
        <v>2289</v>
      </c>
      <c r="C343" s="46">
        <v>183769</v>
      </c>
      <c r="D343" s="46">
        <v>178282</v>
      </c>
      <c r="E343" s="46">
        <v>200826</v>
      </c>
      <c r="F343">
        <v>3.07</v>
      </c>
      <c r="G343">
        <v>-8.49</v>
      </c>
      <c r="H343" s="46">
        <v>2055261</v>
      </c>
      <c r="I343" s="46">
        <v>2483975</v>
      </c>
      <c r="J343">
        <v>-17.25</v>
      </c>
      <c r="K343">
        <v>0</v>
      </c>
    </row>
    <row r="344" spans="1:11" customFormat="1" hidden="1">
      <c r="A344" s="288">
        <v>5015</v>
      </c>
      <c r="B344" s="288" t="s">
        <v>403</v>
      </c>
      <c r="C344" s="46">
        <v>178477</v>
      </c>
      <c r="D344" s="46">
        <v>218530</v>
      </c>
      <c r="E344" s="46">
        <v>203806</v>
      </c>
      <c r="F344">
        <v>-18.32</v>
      </c>
      <c r="G344">
        <v>-12.42</v>
      </c>
      <c r="H344" s="46">
        <v>1859959</v>
      </c>
      <c r="I344" s="46">
        <v>2481341</v>
      </c>
      <c r="J344">
        <v>-25.04</v>
      </c>
      <c r="K344">
        <v>1</v>
      </c>
    </row>
    <row r="345" spans="1:11" customFormat="1" hidden="1">
      <c r="A345">
        <v>5014</v>
      </c>
      <c r="B345" t="s">
        <v>2115</v>
      </c>
      <c r="C345" s="46">
        <v>1228480</v>
      </c>
      <c r="D345" s="46">
        <v>1119652</v>
      </c>
      <c r="E345" s="46">
        <v>1548378</v>
      </c>
      <c r="F345">
        <v>9.7100000000000009</v>
      </c>
      <c r="G345">
        <v>-20.66</v>
      </c>
      <c r="H345" s="46">
        <v>13087003</v>
      </c>
      <c r="I345" s="46">
        <v>12475308</v>
      </c>
      <c r="J345">
        <v>4.9000000000000004</v>
      </c>
      <c r="K345">
        <v>0</v>
      </c>
    </row>
    <row r="346" spans="1:11" customFormat="1" hidden="1">
      <c r="A346">
        <v>5013</v>
      </c>
      <c r="B346" t="s">
        <v>2114</v>
      </c>
      <c r="C346" s="46">
        <v>458171</v>
      </c>
      <c r="D346" s="46">
        <v>459552</v>
      </c>
      <c r="E346" s="46">
        <v>505643</v>
      </c>
      <c r="F346">
        <v>-0.3</v>
      </c>
      <c r="G346">
        <v>-9.3800000000000008</v>
      </c>
      <c r="H346" s="46">
        <v>4666700</v>
      </c>
      <c r="I346" s="46">
        <v>5078090</v>
      </c>
      <c r="J346">
        <v>-8.1</v>
      </c>
      <c r="K346">
        <v>1</v>
      </c>
    </row>
    <row r="347" spans="1:11" customFormat="1" hidden="1">
      <c r="A347">
        <v>5011</v>
      </c>
      <c r="B347" t="s">
        <v>402</v>
      </c>
      <c r="C347" s="46">
        <v>74310</v>
      </c>
      <c r="D347" s="46">
        <v>94870</v>
      </c>
      <c r="E347" s="46">
        <v>53836</v>
      </c>
      <c r="F347">
        <v>-21.67</v>
      </c>
      <c r="G347">
        <v>38.03</v>
      </c>
      <c r="H347" s="46">
        <v>882344</v>
      </c>
      <c r="I347" s="46">
        <v>920415</v>
      </c>
      <c r="J347">
        <v>-4.13</v>
      </c>
      <c r="K347">
        <v>0</v>
      </c>
    </row>
    <row r="348" spans="1:11" customFormat="1" hidden="1">
      <c r="A348">
        <v>5009</v>
      </c>
      <c r="B348" t="s">
        <v>401</v>
      </c>
      <c r="C348" s="46">
        <v>693657</v>
      </c>
      <c r="D348" s="46">
        <v>737489</v>
      </c>
      <c r="E348" s="46">
        <v>1008913</v>
      </c>
      <c r="F348">
        <v>-5.94</v>
      </c>
      <c r="G348">
        <v>-31.24</v>
      </c>
      <c r="H348" s="46">
        <v>10126786</v>
      </c>
      <c r="I348" s="46">
        <v>11145920</v>
      </c>
      <c r="J348">
        <v>-9.14</v>
      </c>
      <c r="K348">
        <v>0</v>
      </c>
    </row>
    <row r="349" spans="1:11" customFormat="1" hidden="1">
      <c r="A349">
        <v>4995</v>
      </c>
      <c r="B349" t="s">
        <v>2322</v>
      </c>
      <c r="C349" s="46">
        <v>57803</v>
      </c>
      <c r="D349" s="46">
        <v>70829</v>
      </c>
      <c r="E349" s="46">
        <v>64612</v>
      </c>
      <c r="F349">
        <v>-18.39</v>
      </c>
      <c r="G349">
        <v>-10.53</v>
      </c>
      <c r="H349" s="46">
        <v>758217</v>
      </c>
      <c r="I349" s="46">
        <v>788996</v>
      </c>
      <c r="J349">
        <v>-3.9</v>
      </c>
      <c r="K349">
        <v>0</v>
      </c>
    </row>
    <row r="350" spans="1:11" customFormat="1" hidden="1">
      <c r="A350">
        <v>4987</v>
      </c>
      <c r="B350" t="s">
        <v>1632</v>
      </c>
      <c r="C350" s="46">
        <v>75248</v>
      </c>
      <c r="D350" s="46">
        <v>92326</v>
      </c>
      <c r="E350" s="46">
        <v>100239</v>
      </c>
      <c r="F350">
        <v>-18.489999999999998</v>
      </c>
      <c r="G350" s="289">
        <v>-24.93</v>
      </c>
      <c r="H350" s="46">
        <v>1019838</v>
      </c>
      <c r="I350" s="46">
        <v>1133064</v>
      </c>
      <c r="J350">
        <v>-9.99</v>
      </c>
      <c r="K350">
        <v>0</v>
      </c>
    </row>
    <row r="351" spans="1:11" customFormat="1" hidden="1">
      <c r="A351">
        <v>4979</v>
      </c>
      <c r="B351" t="s">
        <v>400</v>
      </c>
      <c r="C351" s="46">
        <v>392722</v>
      </c>
      <c r="D351" s="46">
        <v>378589</v>
      </c>
      <c r="E351" s="46">
        <v>296872</v>
      </c>
      <c r="F351">
        <v>3.73</v>
      </c>
      <c r="G351">
        <v>32.28</v>
      </c>
      <c r="H351" s="46">
        <v>3774143</v>
      </c>
      <c r="I351" s="46">
        <v>2692510</v>
      </c>
      <c r="J351">
        <v>40.17</v>
      </c>
      <c r="K351">
        <v>1</v>
      </c>
    </row>
    <row r="352" spans="1:11" customFormat="1" hidden="1">
      <c r="A352">
        <v>4974</v>
      </c>
      <c r="B352" t="s">
        <v>399</v>
      </c>
      <c r="C352" s="46">
        <v>209596</v>
      </c>
      <c r="D352" s="46">
        <v>273381</v>
      </c>
      <c r="E352" s="46">
        <v>265062</v>
      </c>
      <c r="F352">
        <v>-23.33</v>
      </c>
      <c r="G352">
        <v>-20.92</v>
      </c>
      <c r="H352" s="46">
        <v>3324823</v>
      </c>
      <c r="I352" s="46">
        <v>3063585</v>
      </c>
      <c r="J352">
        <v>8.52</v>
      </c>
      <c r="K352">
        <v>0</v>
      </c>
    </row>
    <row r="353" spans="1:11" customFormat="1" hidden="1">
      <c r="A353">
        <v>4973</v>
      </c>
      <c r="B353" t="s">
        <v>2293</v>
      </c>
      <c r="C353" s="46">
        <v>518095</v>
      </c>
      <c r="D353" s="46">
        <v>474781</v>
      </c>
      <c r="E353" s="46">
        <v>673662</v>
      </c>
      <c r="F353">
        <v>9.1199999999999992</v>
      </c>
      <c r="G353">
        <v>-23.09</v>
      </c>
      <c r="H353" s="46">
        <v>5009050</v>
      </c>
      <c r="I353" s="46">
        <v>6608952</v>
      </c>
      <c r="J353">
        <v>-24.2</v>
      </c>
      <c r="K353">
        <v>1</v>
      </c>
    </row>
    <row r="354" spans="1:11" customFormat="1" hidden="1">
      <c r="A354" s="288">
        <v>4972</v>
      </c>
      <c r="B354" s="288" t="s">
        <v>2156</v>
      </c>
      <c r="C354" s="46">
        <v>98753</v>
      </c>
      <c r="D354" s="46">
        <v>95696</v>
      </c>
      <c r="E354" s="46">
        <v>102443</v>
      </c>
      <c r="F354">
        <v>3.19</v>
      </c>
      <c r="G354">
        <v>-3.6</v>
      </c>
      <c r="H354" s="46">
        <v>1187250</v>
      </c>
      <c r="I354" s="46">
        <v>1067698</v>
      </c>
      <c r="J354">
        <v>11.19</v>
      </c>
      <c r="K354">
        <v>0</v>
      </c>
    </row>
    <row r="355" spans="1:11" customFormat="1">
      <c r="A355" s="288" t="str">
        <f>HYPERLINK("http://tw.stock.yahoo.com/q/ta?s=4965","4965")</f>
        <v>4965</v>
      </c>
      <c r="B355" s="288" t="str">
        <f>HYPERLINK("http://tw.stock.yahoo.com/d/s/earning_4965.html","商店街")</f>
        <v>商店街</v>
      </c>
      <c r="C355" s="46">
        <v>138672</v>
      </c>
      <c r="D355" s="46">
        <v>126874</v>
      </c>
      <c r="E355" s="46">
        <v>91280</v>
      </c>
      <c r="F355">
        <v>9.2899999999999991</v>
      </c>
      <c r="G355">
        <v>51.91</v>
      </c>
      <c r="H355" s="46">
        <v>1236828</v>
      </c>
      <c r="I355" s="46">
        <v>890788</v>
      </c>
      <c r="J355">
        <v>38.840000000000003</v>
      </c>
      <c r="K355">
        <v>1</v>
      </c>
    </row>
    <row r="356" spans="1:11" customFormat="1" hidden="1">
      <c r="A356">
        <v>4953</v>
      </c>
      <c r="B356" t="s">
        <v>2364</v>
      </c>
      <c r="C356" s="46">
        <v>221662</v>
      </c>
      <c r="D356" s="46">
        <v>202096</v>
      </c>
      <c r="E356" s="46">
        <v>203716</v>
      </c>
      <c r="F356">
        <v>9.68</v>
      </c>
      <c r="G356">
        <v>8.8000000000000007</v>
      </c>
      <c r="H356" s="46">
        <v>2318353</v>
      </c>
      <c r="I356" s="46">
        <v>2239096</v>
      </c>
      <c r="J356">
        <v>3.53</v>
      </c>
      <c r="K356">
        <v>1</v>
      </c>
    </row>
    <row r="357" spans="1:11" customFormat="1" hidden="1">
      <c r="A357" s="288">
        <v>4950</v>
      </c>
      <c r="B357" s="288" t="s">
        <v>397</v>
      </c>
      <c r="C357" s="46">
        <v>32754</v>
      </c>
      <c r="D357" s="46">
        <v>35907</v>
      </c>
      <c r="E357" s="46">
        <v>9110</v>
      </c>
      <c r="F357">
        <v>-8.7799999999999994</v>
      </c>
      <c r="G357">
        <v>259.52999999999997</v>
      </c>
      <c r="H357" s="46">
        <v>319634</v>
      </c>
      <c r="I357" s="46">
        <v>379296</v>
      </c>
      <c r="J357">
        <v>-15.72</v>
      </c>
      <c r="K357">
        <v>1</v>
      </c>
    </row>
    <row r="358" spans="1:11" customFormat="1" hidden="1">
      <c r="A358">
        <v>4946</v>
      </c>
      <c r="B358" t="s">
        <v>2406</v>
      </c>
      <c r="C358" s="46">
        <v>31751</v>
      </c>
      <c r="D358" s="46">
        <v>27986</v>
      </c>
      <c r="E358" s="46">
        <v>51936</v>
      </c>
      <c r="F358">
        <v>13.45</v>
      </c>
      <c r="G358">
        <v>-38.86</v>
      </c>
      <c r="H358" s="46">
        <v>430190</v>
      </c>
      <c r="I358" s="46">
        <v>784115</v>
      </c>
      <c r="J358">
        <v>-45.13</v>
      </c>
      <c r="K358">
        <v>0</v>
      </c>
    </row>
    <row r="359" spans="1:11" customFormat="1" hidden="1">
      <c r="A359">
        <v>4944</v>
      </c>
      <c r="B359" t="s">
        <v>2321</v>
      </c>
      <c r="C359" s="46">
        <v>125000</v>
      </c>
      <c r="D359" s="46">
        <v>143953</v>
      </c>
      <c r="E359" s="46">
        <v>145414</v>
      </c>
      <c r="F359">
        <v>-13.16</v>
      </c>
      <c r="G359">
        <v>-14.03</v>
      </c>
      <c r="H359" s="46">
        <v>2038174</v>
      </c>
      <c r="I359" s="46">
        <v>2365774</v>
      </c>
      <c r="J359">
        <v>-13.84</v>
      </c>
      <c r="K359">
        <v>0</v>
      </c>
    </row>
    <row r="360" spans="1:11" customFormat="1" hidden="1">
      <c r="A360" s="288">
        <v>4939</v>
      </c>
      <c r="B360" s="288" t="s">
        <v>396</v>
      </c>
      <c r="C360" s="46">
        <v>132591</v>
      </c>
      <c r="D360" s="46">
        <v>123015</v>
      </c>
      <c r="E360" s="46">
        <v>152034</v>
      </c>
      <c r="F360">
        <v>7.78</v>
      </c>
      <c r="G360">
        <v>-12.78</v>
      </c>
      <c r="H360" s="46">
        <v>1429997</v>
      </c>
      <c r="I360" s="46">
        <v>1776373</v>
      </c>
      <c r="J360">
        <v>-19.489999999999998</v>
      </c>
      <c r="K360">
        <v>0</v>
      </c>
    </row>
    <row r="361" spans="1:11" customFormat="1" hidden="1">
      <c r="A361">
        <v>4933</v>
      </c>
      <c r="B361" t="s">
        <v>395</v>
      </c>
      <c r="C361" s="46">
        <v>318916</v>
      </c>
      <c r="D361" s="46">
        <v>363558</v>
      </c>
      <c r="E361" s="46">
        <v>301888</v>
      </c>
      <c r="F361">
        <v>-12.27</v>
      </c>
      <c r="G361">
        <v>5.64</v>
      </c>
      <c r="H361" s="46">
        <v>3704381</v>
      </c>
      <c r="I361" s="46">
        <v>3430622</v>
      </c>
      <c r="J361">
        <v>7.97</v>
      </c>
      <c r="K361">
        <v>0</v>
      </c>
    </row>
    <row r="362" spans="1:11" customFormat="1" hidden="1">
      <c r="A362" s="288">
        <v>4911</v>
      </c>
      <c r="B362" s="288" t="s">
        <v>394</v>
      </c>
      <c r="C362" s="46">
        <v>10367</v>
      </c>
      <c r="D362" s="46">
        <v>8101</v>
      </c>
      <c r="E362" s="46">
        <v>10263</v>
      </c>
      <c r="F362">
        <v>27.97</v>
      </c>
      <c r="G362">
        <v>1.01</v>
      </c>
      <c r="H362" s="46">
        <v>45490</v>
      </c>
      <c r="I362" s="46">
        <v>74229</v>
      </c>
      <c r="J362">
        <v>-38.71</v>
      </c>
      <c r="K362">
        <v>1</v>
      </c>
    </row>
    <row r="363" spans="1:11" customFormat="1" hidden="1">
      <c r="A363">
        <v>4909</v>
      </c>
      <c r="B363" t="s">
        <v>393</v>
      </c>
      <c r="C363" s="46">
        <v>138815</v>
      </c>
      <c r="D363" s="46">
        <v>143080</v>
      </c>
      <c r="E363" s="46">
        <v>134449</v>
      </c>
      <c r="F363">
        <v>-2.98</v>
      </c>
      <c r="G363">
        <v>3.24</v>
      </c>
      <c r="H363" s="46">
        <v>1416018</v>
      </c>
      <c r="I363" s="46">
        <v>1588426</v>
      </c>
      <c r="J363">
        <v>-10.85</v>
      </c>
      <c r="K363">
        <v>1</v>
      </c>
    </row>
    <row r="364" spans="1:11" customFormat="1" hidden="1">
      <c r="A364">
        <v>4908</v>
      </c>
      <c r="B364" t="s">
        <v>2169</v>
      </c>
      <c r="C364" s="46">
        <v>102634</v>
      </c>
      <c r="D364" s="46">
        <v>103517</v>
      </c>
      <c r="E364" s="46">
        <v>91791</v>
      </c>
      <c r="F364">
        <v>-0.85</v>
      </c>
      <c r="G364">
        <v>11.81</v>
      </c>
      <c r="H364" s="46">
        <v>947170</v>
      </c>
      <c r="I364" s="46">
        <v>1216615</v>
      </c>
      <c r="J364">
        <v>-22.14</v>
      </c>
      <c r="K364">
        <v>1</v>
      </c>
    </row>
    <row r="365" spans="1:11" customFormat="1" hidden="1">
      <c r="A365">
        <v>4907</v>
      </c>
      <c r="B365" t="s">
        <v>2235</v>
      </c>
      <c r="C365" s="46">
        <v>86</v>
      </c>
      <c r="D365" s="46">
        <v>86</v>
      </c>
      <c r="E365" s="46">
        <v>91771</v>
      </c>
      <c r="F365">
        <v>0</v>
      </c>
      <c r="G365">
        <v>-99.9</v>
      </c>
      <c r="H365" s="46">
        <v>314696</v>
      </c>
      <c r="I365" s="46">
        <v>159021</v>
      </c>
      <c r="J365">
        <v>97.89</v>
      </c>
      <c r="K365">
        <v>0</v>
      </c>
    </row>
    <row r="366" spans="1:11" customFormat="1" hidden="1">
      <c r="A366">
        <v>4905</v>
      </c>
      <c r="B366" t="s">
        <v>2168</v>
      </c>
      <c r="C366" s="46">
        <v>7300</v>
      </c>
      <c r="D366" s="46">
        <v>11674</v>
      </c>
      <c r="E366" s="46">
        <v>12405</v>
      </c>
      <c r="F366">
        <v>-37.46</v>
      </c>
      <c r="G366">
        <v>-41.15</v>
      </c>
      <c r="H366" s="46">
        <v>103488</v>
      </c>
      <c r="I366" s="46">
        <v>146089</v>
      </c>
      <c r="J366">
        <v>-29.16</v>
      </c>
      <c r="K366">
        <v>0</v>
      </c>
    </row>
    <row r="367" spans="1:11" customFormat="1" hidden="1">
      <c r="A367">
        <v>4903</v>
      </c>
      <c r="B367" t="s">
        <v>2167</v>
      </c>
      <c r="C367" s="46">
        <v>132478</v>
      </c>
      <c r="D367" s="46">
        <v>84054</v>
      </c>
      <c r="E367" s="46">
        <v>244894</v>
      </c>
      <c r="F367">
        <v>57.61</v>
      </c>
      <c r="G367">
        <v>-45.9</v>
      </c>
      <c r="H367" s="46">
        <v>1431902</v>
      </c>
      <c r="I367" s="46">
        <v>1540344</v>
      </c>
      <c r="J367">
        <v>-7.04</v>
      </c>
      <c r="K367">
        <v>0</v>
      </c>
    </row>
    <row r="368" spans="1:11" customFormat="1" hidden="1">
      <c r="A368">
        <v>4747</v>
      </c>
      <c r="B368" t="s">
        <v>2112</v>
      </c>
      <c r="C368" s="46">
        <v>35537</v>
      </c>
      <c r="D368" s="46">
        <v>31224</v>
      </c>
      <c r="E368" s="46">
        <v>27359</v>
      </c>
      <c r="F368">
        <v>13.81</v>
      </c>
      <c r="G368">
        <v>29.89</v>
      </c>
      <c r="H368" s="46">
        <v>343966</v>
      </c>
      <c r="I368" s="46">
        <v>331653</v>
      </c>
      <c r="J368">
        <v>3.71</v>
      </c>
      <c r="K368">
        <v>1</v>
      </c>
    </row>
    <row r="369" spans="1:11" customFormat="1" hidden="1">
      <c r="A369">
        <v>4743</v>
      </c>
      <c r="B369" t="s">
        <v>2287</v>
      </c>
      <c r="C369" s="46">
        <v>284</v>
      </c>
      <c r="D369" s="46">
        <v>940</v>
      </c>
      <c r="E369" s="46">
        <v>469</v>
      </c>
      <c r="F369">
        <v>-69.78</v>
      </c>
      <c r="G369">
        <v>-39.44</v>
      </c>
      <c r="H369" s="46">
        <v>7827</v>
      </c>
      <c r="I369" s="46">
        <v>5076</v>
      </c>
      <c r="J369">
        <v>54.19</v>
      </c>
      <c r="K369">
        <v>0</v>
      </c>
    </row>
    <row r="370" spans="1:11" customFormat="1" hidden="1">
      <c r="A370">
        <v>4739</v>
      </c>
      <c r="B370" t="s">
        <v>2093</v>
      </c>
      <c r="C370" s="46">
        <v>340162</v>
      </c>
      <c r="D370" s="46">
        <v>358894</v>
      </c>
      <c r="E370" s="46">
        <v>248899</v>
      </c>
      <c r="F370">
        <v>-5.21</v>
      </c>
      <c r="G370">
        <v>36.659999999999997</v>
      </c>
      <c r="H370" s="46">
        <v>3590723</v>
      </c>
      <c r="I370" s="46">
        <v>2679312</v>
      </c>
      <c r="J370">
        <v>34.01</v>
      </c>
      <c r="K370">
        <v>0</v>
      </c>
    </row>
    <row r="371" spans="1:11" customFormat="1" hidden="1">
      <c r="A371">
        <v>4736</v>
      </c>
      <c r="B371" t="s">
        <v>392</v>
      </c>
      <c r="C371" s="46">
        <v>192295</v>
      </c>
      <c r="D371" s="46">
        <v>232149</v>
      </c>
      <c r="E371" s="46">
        <v>190126</v>
      </c>
      <c r="F371">
        <v>-17.16</v>
      </c>
      <c r="G371">
        <v>1.1399999999999999</v>
      </c>
      <c r="H371" s="46">
        <v>2372190</v>
      </c>
      <c r="I371" s="46">
        <v>2245734</v>
      </c>
      <c r="J371">
        <v>5.63</v>
      </c>
      <c r="K371">
        <v>0</v>
      </c>
    </row>
    <row r="372" spans="1:11" customFormat="1" hidden="1">
      <c r="A372">
        <v>4735</v>
      </c>
      <c r="B372" t="s">
        <v>2111</v>
      </c>
      <c r="C372" s="46">
        <v>103804</v>
      </c>
      <c r="D372" s="46">
        <v>91629</v>
      </c>
      <c r="E372" s="46">
        <v>112724</v>
      </c>
      <c r="F372">
        <v>13.28</v>
      </c>
      <c r="G372">
        <v>-7.91</v>
      </c>
      <c r="H372" s="46">
        <v>915857</v>
      </c>
      <c r="I372" s="46">
        <v>684891</v>
      </c>
      <c r="J372">
        <v>33.72</v>
      </c>
      <c r="K372">
        <v>1</v>
      </c>
    </row>
    <row r="373" spans="1:11" customFormat="1" hidden="1">
      <c r="A373">
        <v>4729</v>
      </c>
      <c r="B373" t="s">
        <v>391</v>
      </c>
      <c r="C373" s="46">
        <v>206205</v>
      </c>
      <c r="D373" s="46">
        <v>223989</v>
      </c>
      <c r="E373" s="46">
        <v>623945</v>
      </c>
      <c r="F373">
        <v>-7.93</v>
      </c>
      <c r="G373">
        <v>-66.95</v>
      </c>
      <c r="H373" s="46">
        <v>4655899</v>
      </c>
      <c r="I373" s="46">
        <v>6827721</v>
      </c>
      <c r="J373">
        <v>-31.8</v>
      </c>
      <c r="K373">
        <v>0</v>
      </c>
    </row>
    <row r="374" spans="1:11" customFormat="1" hidden="1">
      <c r="A374">
        <v>4728</v>
      </c>
      <c r="B374" t="s">
        <v>390</v>
      </c>
      <c r="C374" s="46">
        <v>10647</v>
      </c>
      <c r="D374" s="46">
        <v>3131</v>
      </c>
      <c r="E374" s="46">
        <v>17329</v>
      </c>
      <c r="F374">
        <v>240.05</v>
      </c>
      <c r="G374">
        <v>-38.549999999999997</v>
      </c>
      <c r="H374" s="46">
        <v>109922</v>
      </c>
      <c r="I374" s="46">
        <v>160880</v>
      </c>
      <c r="J374">
        <v>-31.67</v>
      </c>
      <c r="K374">
        <v>1</v>
      </c>
    </row>
    <row r="375" spans="1:11" customFormat="1" hidden="1">
      <c r="A375">
        <v>4726</v>
      </c>
      <c r="B375" t="s">
        <v>2110</v>
      </c>
      <c r="C375" s="46">
        <v>27174</v>
      </c>
      <c r="D375" s="46">
        <v>10739</v>
      </c>
      <c r="E375" s="46">
        <v>34815</v>
      </c>
      <c r="F375">
        <v>153.04</v>
      </c>
      <c r="G375">
        <v>-21.94</v>
      </c>
      <c r="H375" s="46">
        <v>115106</v>
      </c>
      <c r="I375" s="46">
        <v>99411</v>
      </c>
      <c r="J375">
        <v>15.78</v>
      </c>
      <c r="K375">
        <v>1</v>
      </c>
    </row>
    <row r="376" spans="1:11" customFormat="1" hidden="1">
      <c r="A376">
        <v>4721</v>
      </c>
      <c r="B376" t="s">
        <v>389</v>
      </c>
      <c r="C376" s="46">
        <v>153740</v>
      </c>
      <c r="D376" s="46">
        <v>200255</v>
      </c>
      <c r="E376" s="46">
        <v>150617</v>
      </c>
      <c r="F376">
        <v>-23.22</v>
      </c>
      <c r="G376">
        <v>2.0699999999999998</v>
      </c>
      <c r="H376" s="46">
        <v>1887622</v>
      </c>
      <c r="I376" s="46">
        <v>2457156</v>
      </c>
      <c r="J376">
        <v>-23.17</v>
      </c>
      <c r="K376">
        <v>0</v>
      </c>
    </row>
    <row r="377" spans="1:11" customFormat="1" hidden="1">
      <c r="A377" s="288">
        <v>4716</v>
      </c>
      <c r="B377" s="288" t="s">
        <v>2092</v>
      </c>
      <c r="C377" s="46">
        <v>87034</v>
      </c>
      <c r="D377" s="46">
        <v>96706</v>
      </c>
      <c r="E377" s="46">
        <v>103517</v>
      </c>
      <c r="F377">
        <v>-10</v>
      </c>
      <c r="G377">
        <v>-15.92</v>
      </c>
      <c r="H377" s="46">
        <v>997809</v>
      </c>
      <c r="I377" s="46">
        <v>1172687</v>
      </c>
      <c r="J377">
        <v>-14.91</v>
      </c>
      <c r="K377">
        <v>0</v>
      </c>
    </row>
    <row r="378" spans="1:11" customFormat="1" hidden="1">
      <c r="A378">
        <v>4714</v>
      </c>
      <c r="B378" t="s">
        <v>388</v>
      </c>
      <c r="C378" s="46">
        <v>33098</v>
      </c>
      <c r="D378" s="46">
        <v>44925</v>
      </c>
      <c r="E378" s="46">
        <v>41391</v>
      </c>
      <c r="F378">
        <v>-26.32</v>
      </c>
      <c r="G378">
        <v>-20.03</v>
      </c>
      <c r="H378" s="46">
        <v>699328</v>
      </c>
      <c r="I378" s="46">
        <v>646524</v>
      </c>
      <c r="J378">
        <v>8.16</v>
      </c>
      <c r="K378">
        <v>0</v>
      </c>
    </row>
    <row r="379" spans="1:11" customFormat="1" hidden="1">
      <c r="A379" s="288">
        <v>4712</v>
      </c>
      <c r="B379" s="288" t="s">
        <v>387</v>
      </c>
      <c r="C379" s="46">
        <v>58038</v>
      </c>
      <c r="D379" s="46">
        <v>61362</v>
      </c>
      <c r="E379" s="46">
        <v>120237</v>
      </c>
      <c r="F379">
        <v>-5.41</v>
      </c>
      <c r="G379">
        <v>-51.73</v>
      </c>
      <c r="H379" s="46">
        <v>989298</v>
      </c>
      <c r="I379" s="46">
        <v>1662400</v>
      </c>
      <c r="J379">
        <v>-40.479999999999997</v>
      </c>
      <c r="K379">
        <v>0</v>
      </c>
    </row>
    <row r="380" spans="1:11" customFormat="1" hidden="1">
      <c r="A380">
        <v>4711</v>
      </c>
      <c r="B380" t="s">
        <v>2091</v>
      </c>
      <c r="C380" s="46">
        <v>99388</v>
      </c>
      <c r="D380" s="46">
        <v>93580</v>
      </c>
      <c r="E380" s="46">
        <v>103046</v>
      </c>
      <c r="F380">
        <v>6.2</v>
      </c>
      <c r="G380">
        <v>-3.54</v>
      </c>
      <c r="H380" s="46">
        <v>1106931</v>
      </c>
      <c r="I380" s="46">
        <v>1337501</v>
      </c>
      <c r="J380">
        <v>-17.23</v>
      </c>
      <c r="K380">
        <v>0</v>
      </c>
    </row>
    <row r="381" spans="1:11" customFormat="1" hidden="1">
      <c r="A381">
        <v>4707</v>
      </c>
      <c r="B381" t="s">
        <v>386</v>
      </c>
      <c r="C381" s="46">
        <v>86722</v>
      </c>
      <c r="D381" s="46">
        <v>138790</v>
      </c>
      <c r="E381" s="46">
        <v>68732</v>
      </c>
      <c r="F381">
        <v>-37.51</v>
      </c>
      <c r="G381">
        <v>26.17</v>
      </c>
      <c r="H381" s="46">
        <v>1808501</v>
      </c>
      <c r="I381" s="46">
        <v>1962196</v>
      </c>
      <c r="J381">
        <v>-7.83</v>
      </c>
      <c r="K381">
        <v>0</v>
      </c>
    </row>
    <row r="382" spans="1:11" customFormat="1" hidden="1">
      <c r="A382">
        <v>4706</v>
      </c>
      <c r="B382" t="s">
        <v>2090</v>
      </c>
      <c r="C382" s="46">
        <v>137774</v>
      </c>
      <c r="D382" s="46">
        <v>133158</v>
      </c>
      <c r="E382" s="46">
        <v>118153</v>
      </c>
      <c r="F382">
        <v>3.46</v>
      </c>
      <c r="G382">
        <v>16.600000000000001</v>
      </c>
      <c r="H382" s="46">
        <v>1364126</v>
      </c>
      <c r="I382" s="46">
        <v>1403326</v>
      </c>
      <c r="J382">
        <v>-2.79</v>
      </c>
      <c r="K382">
        <v>1</v>
      </c>
    </row>
    <row r="383" spans="1:11" customFormat="1" hidden="1">
      <c r="A383">
        <v>4703</v>
      </c>
      <c r="B383" t="s">
        <v>2155</v>
      </c>
      <c r="C383" s="46">
        <v>0</v>
      </c>
      <c r="D383" s="46">
        <v>1942</v>
      </c>
      <c r="E383" s="46">
        <v>358044</v>
      </c>
      <c r="F383">
        <v>-100</v>
      </c>
      <c r="G383">
        <v>-100</v>
      </c>
      <c r="H383" s="46">
        <v>1464662</v>
      </c>
      <c r="I383" s="46">
        <v>2590052</v>
      </c>
      <c r="J383">
        <v>-43.45</v>
      </c>
      <c r="K383">
        <v>0</v>
      </c>
    </row>
    <row r="384" spans="1:11" customFormat="1" hidden="1">
      <c r="A384">
        <v>4702</v>
      </c>
      <c r="B384" t="s">
        <v>385</v>
      </c>
      <c r="C384" s="46">
        <v>70709</v>
      </c>
      <c r="D384" s="46">
        <v>72575</v>
      </c>
      <c r="E384" s="46">
        <v>83772</v>
      </c>
      <c r="F384">
        <v>-2.57</v>
      </c>
      <c r="G384" s="289">
        <v>-15.59</v>
      </c>
      <c r="H384" s="46">
        <v>976248</v>
      </c>
      <c r="I384" s="46">
        <v>1126163</v>
      </c>
      <c r="J384" s="289">
        <v>-13.31</v>
      </c>
      <c r="K384">
        <v>0</v>
      </c>
    </row>
    <row r="385" spans="1:11" customFormat="1" hidden="1">
      <c r="A385">
        <v>4609</v>
      </c>
      <c r="B385" t="s">
        <v>2276</v>
      </c>
      <c r="C385" s="46">
        <v>43682</v>
      </c>
      <c r="D385" s="46">
        <v>165452</v>
      </c>
      <c r="E385" s="46">
        <v>69970</v>
      </c>
      <c r="F385">
        <v>-73.59</v>
      </c>
      <c r="G385">
        <v>-37.57</v>
      </c>
      <c r="H385" s="46">
        <v>1038617</v>
      </c>
      <c r="I385" s="46">
        <v>954717</v>
      </c>
      <c r="J385">
        <v>8.7799999999999994</v>
      </c>
      <c r="K385">
        <v>0</v>
      </c>
    </row>
    <row r="386" spans="1:11" customFormat="1" hidden="1">
      <c r="A386">
        <v>4550</v>
      </c>
      <c r="B386" t="s">
        <v>384</v>
      </c>
      <c r="C386" s="46">
        <v>70082</v>
      </c>
      <c r="D386" s="46">
        <v>85788</v>
      </c>
      <c r="E386" s="46">
        <v>114477</v>
      </c>
      <c r="F386">
        <v>-18.3</v>
      </c>
      <c r="G386">
        <v>-38.78</v>
      </c>
      <c r="H386" s="46">
        <v>1013862</v>
      </c>
      <c r="I386" s="46">
        <v>1031383</v>
      </c>
      <c r="J386">
        <v>-1.69</v>
      </c>
      <c r="K386">
        <v>0</v>
      </c>
    </row>
    <row r="387" spans="1:11" customFormat="1" hidden="1">
      <c r="A387" s="288">
        <v>4549</v>
      </c>
      <c r="B387" s="288" t="s">
        <v>383</v>
      </c>
      <c r="C387" s="46">
        <v>66476</v>
      </c>
      <c r="D387" s="46">
        <v>66585</v>
      </c>
      <c r="E387" s="46">
        <v>72445</v>
      </c>
      <c r="F387">
        <v>-0.16</v>
      </c>
      <c r="G387">
        <v>-8.23</v>
      </c>
      <c r="H387" s="46">
        <v>751777</v>
      </c>
      <c r="I387" s="46">
        <v>825358</v>
      </c>
      <c r="J387">
        <v>-8.91</v>
      </c>
      <c r="K387">
        <v>0</v>
      </c>
    </row>
    <row r="388" spans="1:11" customFormat="1" hidden="1">
      <c r="A388">
        <v>4542</v>
      </c>
      <c r="B388" t="s">
        <v>382</v>
      </c>
      <c r="C388" s="46">
        <v>15239</v>
      </c>
      <c r="D388" s="46">
        <v>26249</v>
      </c>
      <c r="E388" s="46">
        <v>41728</v>
      </c>
      <c r="F388">
        <v>-41.94</v>
      </c>
      <c r="G388">
        <v>-63.48</v>
      </c>
      <c r="H388" s="46">
        <v>453919</v>
      </c>
      <c r="I388" s="46">
        <v>671323</v>
      </c>
      <c r="J388">
        <v>-32.380000000000003</v>
      </c>
      <c r="K388">
        <v>0</v>
      </c>
    </row>
    <row r="389" spans="1:11" customFormat="1" hidden="1">
      <c r="A389">
        <v>4541</v>
      </c>
      <c r="B389" t="s">
        <v>2253</v>
      </c>
      <c r="C389" s="46">
        <v>93467</v>
      </c>
      <c r="D389" s="46">
        <v>87238</v>
      </c>
      <c r="E389" s="46">
        <v>92219</v>
      </c>
      <c r="F389">
        <v>7.14</v>
      </c>
      <c r="G389">
        <v>1.35</v>
      </c>
      <c r="H389" s="46">
        <v>953587</v>
      </c>
      <c r="I389" s="46">
        <v>944492</v>
      </c>
      <c r="J389">
        <v>0.96</v>
      </c>
      <c r="K389">
        <v>1</v>
      </c>
    </row>
    <row r="390" spans="1:11" customFormat="1" hidden="1">
      <c r="A390">
        <v>4535</v>
      </c>
      <c r="B390" t="s">
        <v>2274</v>
      </c>
      <c r="C390" s="46">
        <v>277865</v>
      </c>
      <c r="D390" s="46">
        <v>285753</v>
      </c>
      <c r="E390" s="46">
        <v>278838</v>
      </c>
      <c r="F390">
        <v>-2.76</v>
      </c>
      <c r="G390">
        <v>-0.34</v>
      </c>
      <c r="H390" s="46">
        <v>3066745</v>
      </c>
      <c r="I390" s="46">
        <v>3144040</v>
      </c>
      <c r="J390">
        <v>-2.4500000000000002</v>
      </c>
      <c r="K390">
        <v>0</v>
      </c>
    </row>
    <row r="391" spans="1:11" customFormat="1" hidden="1">
      <c r="A391">
        <v>4533</v>
      </c>
      <c r="B391" t="s">
        <v>2086</v>
      </c>
      <c r="C391" s="46">
        <v>318103</v>
      </c>
      <c r="D391" s="46">
        <v>245478</v>
      </c>
      <c r="E391" s="46">
        <v>302773</v>
      </c>
      <c r="F391">
        <v>29.58</v>
      </c>
      <c r="G391">
        <v>5.0599999999999996</v>
      </c>
      <c r="H391" s="46">
        <v>3110894</v>
      </c>
      <c r="I391" s="46">
        <v>3699287</v>
      </c>
      <c r="J391">
        <v>-15.9</v>
      </c>
      <c r="K391">
        <v>1</v>
      </c>
    </row>
    <row r="392" spans="1:11" customFormat="1" hidden="1">
      <c r="A392">
        <v>4530</v>
      </c>
      <c r="B392" t="s">
        <v>2273</v>
      </c>
      <c r="C392" s="46">
        <v>12911</v>
      </c>
      <c r="D392" s="46">
        <v>1536</v>
      </c>
      <c r="E392" s="46">
        <v>5074</v>
      </c>
      <c r="F392">
        <v>740.55</v>
      </c>
      <c r="G392">
        <v>154.44999999999999</v>
      </c>
      <c r="H392" s="46">
        <v>66331</v>
      </c>
      <c r="I392" s="46">
        <v>66464</v>
      </c>
      <c r="J392">
        <v>-0.2</v>
      </c>
      <c r="K392">
        <v>1</v>
      </c>
    </row>
    <row r="393" spans="1:11" customFormat="1" hidden="1">
      <c r="A393">
        <v>4529</v>
      </c>
      <c r="B393" t="s">
        <v>1603</v>
      </c>
      <c r="C393" s="46">
        <v>404</v>
      </c>
      <c r="D393" s="46">
        <v>403</v>
      </c>
      <c r="E393" s="46">
        <v>-1506</v>
      </c>
      <c r="F393">
        <v>0.24</v>
      </c>
      <c r="G393">
        <v>126.82</v>
      </c>
      <c r="H393" s="46">
        <v>29976</v>
      </c>
      <c r="I393" s="46">
        <v>22921</v>
      </c>
      <c r="J393">
        <v>30.77</v>
      </c>
      <c r="K393">
        <v>0</v>
      </c>
    </row>
    <row r="394" spans="1:11" customFormat="1" hidden="1">
      <c r="A394">
        <v>4528</v>
      </c>
      <c r="B394" t="s">
        <v>2272</v>
      </c>
      <c r="C394" s="46">
        <v>190898</v>
      </c>
      <c r="D394" s="46">
        <v>189745</v>
      </c>
      <c r="E394" s="46">
        <v>175087</v>
      </c>
      <c r="F394">
        <v>0.6</v>
      </c>
      <c r="G394">
        <v>9.0299999999999994</v>
      </c>
      <c r="H394" s="46">
        <v>2039077</v>
      </c>
      <c r="I394" s="46">
        <v>1623637</v>
      </c>
      <c r="J394">
        <v>25.58</v>
      </c>
      <c r="K394">
        <v>0</v>
      </c>
    </row>
    <row r="395" spans="1:11" customFormat="1" hidden="1">
      <c r="A395">
        <v>4527</v>
      </c>
      <c r="B395" t="s">
        <v>2085</v>
      </c>
      <c r="C395" s="46">
        <v>221003</v>
      </c>
      <c r="D395" s="46">
        <v>240117</v>
      </c>
      <c r="E395" s="46">
        <v>169187</v>
      </c>
      <c r="F395">
        <v>-7.96</v>
      </c>
      <c r="G395">
        <v>30.62</v>
      </c>
      <c r="H395" s="46">
        <v>2181304</v>
      </c>
      <c r="I395" s="46">
        <v>2249694</v>
      </c>
      <c r="J395">
        <v>-3.03</v>
      </c>
      <c r="K395">
        <v>1</v>
      </c>
    </row>
    <row r="396" spans="1:11" customFormat="1" hidden="1">
      <c r="A396">
        <v>4523</v>
      </c>
      <c r="B396" t="s">
        <v>2084</v>
      </c>
      <c r="C396" s="46">
        <v>146169</v>
      </c>
      <c r="D396" s="46">
        <v>124231</v>
      </c>
      <c r="E396" s="46">
        <v>126272</v>
      </c>
      <c r="F396">
        <v>17.649999999999999</v>
      </c>
      <c r="G396">
        <v>15.75</v>
      </c>
      <c r="H396" s="46">
        <v>1423912</v>
      </c>
      <c r="I396" s="46">
        <v>1246628</v>
      </c>
      <c r="J396">
        <v>14.22</v>
      </c>
      <c r="K396">
        <v>1</v>
      </c>
    </row>
    <row r="397" spans="1:11" customFormat="1" hidden="1">
      <c r="A397">
        <v>4513</v>
      </c>
      <c r="B397" t="s">
        <v>2083</v>
      </c>
      <c r="C397" s="46">
        <v>143753</v>
      </c>
      <c r="D397" s="46">
        <v>138651</v>
      </c>
      <c r="E397" s="46">
        <v>175638</v>
      </c>
      <c r="F397">
        <v>3.67</v>
      </c>
      <c r="G397">
        <v>-18.149999999999999</v>
      </c>
      <c r="H397" s="46">
        <v>1980828</v>
      </c>
      <c r="I397" s="46">
        <v>2216985</v>
      </c>
      <c r="J397">
        <v>-10.65</v>
      </c>
      <c r="K397">
        <v>0</v>
      </c>
    </row>
    <row r="398" spans="1:11" customFormat="1" hidden="1">
      <c r="A398">
        <v>4510</v>
      </c>
      <c r="B398" t="s">
        <v>2271</v>
      </c>
      <c r="C398" s="46">
        <v>135193</v>
      </c>
      <c r="D398" s="46">
        <v>176588</v>
      </c>
      <c r="E398" s="46">
        <v>175832</v>
      </c>
      <c r="F398">
        <v>-23.44</v>
      </c>
      <c r="G398">
        <v>-23.11</v>
      </c>
      <c r="H398" s="46">
        <v>1890212</v>
      </c>
      <c r="I398" s="46">
        <v>1899238</v>
      </c>
      <c r="J398">
        <v>-0.47</v>
      </c>
      <c r="K398">
        <v>0</v>
      </c>
    </row>
    <row r="399" spans="1:11" customFormat="1" hidden="1">
      <c r="A399">
        <v>4506</v>
      </c>
      <c r="B399" t="s">
        <v>381</v>
      </c>
      <c r="C399" s="46">
        <v>267259</v>
      </c>
      <c r="D399" s="46">
        <v>271362</v>
      </c>
      <c r="E399" s="46">
        <v>366038</v>
      </c>
      <c r="F399">
        <v>-1.51</v>
      </c>
      <c r="G399">
        <v>-26.98</v>
      </c>
      <c r="H399" s="46">
        <v>3850983</v>
      </c>
      <c r="I399" s="46">
        <v>3030120</v>
      </c>
      <c r="J399">
        <v>27.09</v>
      </c>
      <c r="K399">
        <v>0</v>
      </c>
    </row>
    <row r="400" spans="1:11" customFormat="1" hidden="1">
      <c r="A400">
        <v>4503</v>
      </c>
      <c r="B400" t="s">
        <v>380</v>
      </c>
      <c r="C400" s="46">
        <v>21184</v>
      </c>
      <c r="D400" s="46">
        <v>18528</v>
      </c>
      <c r="E400" s="46">
        <v>6400</v>
      </c>
      <c r="F400">
        <v>14.33</v>
      </c>
      <c r="G400">
        <v>231</v>
      </c>
      <c r="H400" s="46">
        <v>181508</v>
      </c>
      <c r="I400" s="46">
        <v>155461</v>
      </c>
      <c r="J400">
        <v>16.75</v>
      </c>
      <c r="K400">
        <v>1</v>
      </c>
    </row>
    <row r="401" spans="1:11" customFormat="1" hidden="1">
      <c r="A401" s="288">
        <v>4502</v>
      </c>
      <c r="B401" s="288" t="s">
        <v>2082</v>
      </c>
      <c r="C401" s="46">
        <v>207852</v>
      </c>
      <c r="D401" s="46">
        <v>204541</v>
      </c>
      <c r="E401" s="46">
        <v>70542</v>
      </c>
      <c r="F401">
        <v>1.61</v>
      </c>
      <c r="G401">
        <v>194.64</v>
      </c>
      <c r="H401" s="46">
        <v>1451186</v>
      </c>
      <c r="I401" s="46">
        <v>782651</v>
      </c>
      <c r="J401">
        <v>85.41</v>
      </c>
      <c r="K401">
        <v>1</v>
      </c>
    </row>
    <row r="402" spans="1:11" customFormat="1" hidden="1">
      <c r="A402">
        <v>4433</v>
      </c>
      <c r="B402" t="s">
        <v>2078</v>
      </c>
      <c r="C402" s="46">
        <v>123657</v>
      </c>
      <c r="D402" s="46">
        <v>132014</v>
      </c>
      <c r="E402" s="46">
        <v>113906</v>
      </c>
      <c r="F402">
        <v>-6.33</v>
      </c>
      <c r="G402">
        <v>8.56</v>
      </c>
      <c r="H402" s="46">
        <v>1357123</v>
      </c>
      <c r="I402" s="46">
        <v>1294018</v>
      </c>
      <c r="J402">
        <v>4.87</v>
      </c>
      <c r="K402">
        <v>0</v>
      </c>
    </row>
    <row r="403" spans="1:11" customFormat="1" hidden="1">
      <c r="A403" s="288">
        <v>4432</v>
      </c>
      <c r="B403" s="288" t="s">
        <v>1595</v>
      </c>
      <c r="C403" s="46">
        <v>151839</v>
      </c>
      <c r="D403" s="46">
        <v>132494</v>
      </c>
      <c r="E403" s="46">
        <v>149706</v>
      </c>
      <c r="F403">
        <v>14.6</v>
      </c>
      <c r="G403">
        <v>1.42</v>
      </c>
      <c r="H403" s="46">
        <v>2116362</v>
      </c>
      <c r="I403" s="46">
        <v>2380662</v>
      </c>
      <c r="J403">
        <v>-11.1</v>
      </c>
      <c r="K403">
        <v>0</v>
      </c>
    </row>
    <row r="404" spans="1:11" customFormat="1" hidden="1">
      <c r="A404" s="288">
        <v>4430</v>
      </c>
      <c r="B404" s="288" t="s">
        <v>2396</v>
      </c>
      <c r="C404" s="46">
        <v>151318</v>
      </c>
      <c r="D404" s="46">
        <v>132480</v>
      </c>
      <c r="E404" s="46">
        <v>179034</v>
      </c>
      <c r="F404">
        <v>14.21</v>
      </c>
      <c r="G404">
        <v>-15.48</v>
      </c>
      <c r="H404" s="46">
        <v>1736585</v>
      </c>
      <c r="I404" s="46">
        <v>1926546</v>
      </c>
      <c r="J404">
        <v>-9.86</v>
      </c>
      <c r="K404">
        <v>0</v>
      </c>
    </row>
    <row r="405" spans="1:11" customFormat="1" hidden="1">
      <c r="A405" s="288">
        <v>4429</v>
      </c>
      <c r="B405" s="288" t="s">
        <v>379</v>
      </c>
      <c r="C405" s="46">
        <v>57265</v>
      </c>
      <c r="D405" s="46">
        <v>72852</v>
      </c>
      <c r="E405" s="46">
        <v>92832</v>
      </c>
      <c r="F405">
        <v>-21.39</v>
      </c>
      <c r="G405">
        <v>-38.31</v>
      </c>
      <c r="H405" s="46">
        <v>873998</v>
      </c>
      <c r="I405" s="46">
        <v>1046232</v>
      </c>
      <c r="J405">
        <v>-16.46</v>
      </c>
      <c r="K405">
        <v>0</v>
      </c>
    </row>
    <row r="406" spans="1:11" customFormat="1" hidden="1">
      <c r="A406">
        <v>4420</v>
      </c>
      <c r="B406" t="s">
        <v>2077</v>
      </c>
      <c r="C406" s="46">
        <v>77630</v>
      </c>
      <c r="D406" s="46">
        <v>83756</v>
      </c>
      <c r="E406" s="46">
        <v>33597</v>
      </c>
      <c r="F406">
        <v>-7.31</v>
      </c>
      <c r="G406">
        <v>131.06</v>
      </c>
      <c r="H406" s="46">
        <v>529933</v>
      </c>
      <c r="I406" s="46">
        <v>390396</v>
      </c>
      <c r="J406">
        <v>35.74</v>
      </c>
      <c r="K406">
        <v>1</v>
      </c>
    </row>
    <row r="407" spans="1:11" customFormat="1" hidden="1">
      <c r="A407">
        <v>4419</v>
      </c>
      <c r="B407" t="s">
        <v>2269</v>
      </c>
      <c r="C407" s="46">
        <v>3758</v>
      </c>
      <c r="D407" s="46">
        <v>3071</v>
      </c>
      <c r="E407" s="46">
        <v>8713</v>
      </c>
      <c r="F407">
        <v>22.37</v>
      </c>
      <c r="G407">
        <v>-56.86</v>
      </c>
      <c r="H407" s="46">
        <v>63293</v>
      </c>
      <c r="I407" s="46">
        <v>123400</v>
      </c>
      <c r="J407" s="289">
        <v>-48.7</v>
      </c>
      <c r="K407">
        <v>0</v>
      </c>
    </row>
    <row r="408" spans="1:11" customFormat="1" hidden="1">
      <c r="A408">
        <v>4417</v>
      </c>
      <c r="B408" t="s">
        <v>2268</v>
      </c>
      <c r="C408" s="46">
        <v>200650</v>
      </c>
      <c r="D408" s="46">
        <v>193724</v>
      </c>
      <c r="E408" s="46">
        <v>332485</v>
      </c>
      <c r="F408">
        <v>3.57</v>
      </c>
      <c r="G408">
        <v>-39.65</v>
      </c>
      <c r="H408" s="46">
        <v>2624828</v>
      </c>
      <c r="I408" s="46">
        <v>2713250</v>
      </c>
      <c r="J408">
        <v>-3.25</v>
      </c>
      <c r="K408">
        <v>0</v>
      </c>
    </row>
    <row r="409" spans="1:11" customFormat="1" hidden="1">
      <c r="A409" s="288">
        <v>4416</v>
      </c>
      <c r="B409" s="288" t="s">
        <v>378</v>
      </c>
      <c r="C409" s="46">
        <v>8250</v>
      </c>
      <c r="D409" s="46">
        <v>8267</v>
      </c>
      <c r="E409" s="46">
        <v>79299</v>
      </c>
      <c r="F409">
        <v>-0.2</v>
      </c>
      <c r="G409">
        <v>-89.59</v>
      </c>
      <c r="H409" s="46">
        <v>1737758</v>
      </c>
      <c r="I409" s="46">
        <v>3108643</v>
      </c>
      <c r="J409">
        <v>-44.09</v>
      </c>
      <c r="K409">
        <v>0</v>
      </c>
    </row>
    <row r="410" spans="1:11" customFormat="1">
      <c r="A410" s="288" t="str">
        <f>HYPERLINK("http://tw.stock.yahoo.com/q/ta?s=3552","3552")</f>
        <v>3552</v>
      </c>
      <c r="B410" s="288" t="str">
        <f>HYPERLINK("http://tw.stock.yahoo.com/d/s/earning_3552.html","同致電子")</f>
        <v>同致電子</v>
      </c>
      <c r="C410" s="46">
        <v>791076</v>
      </c>
      <c r="D410" s="46">
        <v>681521</v>
      </c>
      <c r="E410" s="46">
        <v>462448</v>
      </c>
      <c r="F410">
        <v>16.07</v>
      </c>
      <c r="G410">
        <v>71.06</v>
      </c>
      <c r="H410" s="46">
        <v>6170642</v>
      </c>
      <c r="I410" s="46">
        <v>4616879</v>
      </c>
      <c r="J410">
        <v>33.65</v>
      </c>
      <c r="K410">
        <v>1</v>
      </c>
    </row>
    <row r="411" spans="1:11" customFormat="1" hidden="1">
      <c r="A411">
        <v>4413</v>
      </c>
      <c r="B411" t="s">
        <v>2267</v>
      </c>
      <c r="C411" s="46">
        <v>10645</v>
      </c>
      <c r="D411" s="46">
        <v>21797</v>
      </c>
      <c r="E411" s="46">
        <v>3120</v>
      </c>
      <c r="F411">
        <v>-51.16</v>
      </c>
      <c r="G411">
        <v>241.18</v>
      </c>
      <c r="H411" s="46">
        <v>198035</v>
      </c>
      <c r="I411" s="46">
        <v>61927</v>
      </c>
      <c r="J411">
        <v>219.78</v>
      </c>
      <c r="K411">
        <v>0</v>
      </c>
    </row>
    <row r="412" spans="1:11" customFormat="1" hidden="1">
      <c r="A412">
        <v>4406</v>
      </c>
      <c r="B412" t="s">
        <v>2076</v>
      </c>
      <c r="C412" s="46">
        <v>56614</v>
      </c>
      <c r="D412" s="46">
        <v>61153</v>
      </c>
      <c r="E412" s="46">
        <v>61305</v>
      </c>
      <c r="F412">
        <v>-7.42</v>
      </c>
      <c r="G412">
        <v>-7.65</v>
      </c>
      <c r="H412" s="46">
        <v>692532</v>
      </c>
      <c r="I412" s="46">
        <v>750204</v>
      </c>
      <c r="J412">
        <v>-7.68</v>
      </c>
      <c r="K412">
        <v>0</v>
      </c>
    </row>
    <row r="413" spans="1:11" customFormat="1" hidden="1">
      <c r="A413">
        <v>4402</v>
      </c>
      <c r="B413" t="s">
        <v>377</v>
      </c>
      <c r="C413" s="46">
        <v>55543</v>
      </c>
      <c r="D413" s="46">
        <v>35266</v>
      </c>
      <c r="E413" s="46">
        <v>72438</v>
      </c>
      <c r="F413">
        <v>57.49</v>
      </c>
      <c r="G413">
        <v>-23.32</v>
      </c>
      <c r="H413" s="46">
        <v>829554</v>
      </c>
      <c r="I413" s="46">
        <v>1204485</v>
      </c>
      <c r="J413">
        <v>-31.12</v>
      </c>
      <c r="K413">
        <v>0</v>
      </c>
    </row>
    <row r="414" spans="1:11" customFormat="1" hidden="1">
      <c r="A414" s="288">
        <v>4401</v>
      </c>
      <c r="B414" s="288" t="s">
        <v>2266</v>
      </c>
      <c r="C414" s="46">
        <v>407987</v>
      </c>
      <c r="D414" s="46">
        <v>392884</v>
      </c>
      <c r="E414" s="46">
        <v>303191</v>
      </c>
      <c r="F414">
        <v>3.84</v>
      </c>
      <c r="G414">
        <v>34.56</v>
      </c>
      <c r="H414" s="46">
        <v>4311528</v>
      </c>
      <c r="I414" s="46">
        <v>3973413</v>
      </c>
      <c r="J414">
        <v>8.5</v>
      </c>
      <c r="K414">
        <v>0</v>
      </c>
    </row>
    <row r="415" spans="1:11" customFormat="1" hidden="1">
      <c r="A415">
        <v>4305</v>
      </c>
      <c r="B415" t="s">
        <v>2073</v>
      </c>
      <c r="C415" s="46">
        <v>104174</v>
      </c>
      <c r="D415" s="46">
        <v>108735</v>
      </c>
      <c r="E415" s="46">
        <v>114901</v>
      </c>
      <c r="F415">
        <v>-4.1900000000000004</v>
      </c>
      <c r="G415">
        <v>-9.33</v>
      </c>
      <c r="H415" s="46">
        <v>1137341</v>
      </c>
      <c r="I415" s="46">
        <v>1321717</v>
      </c>
      <c r="J415">
        <v>-13.94</v>
      </c>
      <c r="K415">
        <v>0</v>
      </c>
    </row>
    <row r="416" spans="1:11" customFormat="1" hidden="1">
      <c r="A416">
        <v>4304</v>
      </c>
      <c r="B416" t="s">
        <v>376</v>
      </c>
      <c r="C416" s="46">
        <v>33177</v>
      </c>
      <c r="D416" s="46">
        <v>35004</v>
      </c>
      <c r="E416" s="46">
        <v>35645</v>
      </c>
      <c r="F416">
        <v>-5.21</v>
      </c>
      <c r="G416">
        <v>-6.92</v>
      </c>
      <c r="H416" s="46">
        <v>373346</v>
      </c>
      <c r="I416" s="46">
        <v>510015</v>
      </c>
      <c r="J416">
        <v>-26.79</v>
      </c>
      <c r="K416">
        <v>0</v>
      </c>
    </row>
    <row r="417" spans="1:11" customFormat="1" hidden="1">
      <c r="A417" s="288">
        <v>4303</v>
      </c>
      <c r="B417" s="288" t="s">
        <v>1585</v>
      </c>
      <c r="C417" s="46">
        <v>46658</v>
      </c>
      <c r="D417" s="46">
        <v>56973</v>
      </c>
      <c r="E417" s="46">
        <v>49804</v>
      </c>
      <c r="F417">
        <v>-18.100000000000001</v>
      </c>
      <c r="G417">
        <v>-6.31</v>
      </c>
      <c r="H417" s="46">
        <v>596308</v>
      </c>
      <c r="I417" s="46">
        <v>620560</v>
      </c>
      <c r="J417">
        <v>-3.9</v>
      </c>
      <c r="K417">
        <v>0</v>
      </c>
    </row>
    <row r="418" spans="1:11" customFormat="1" hidden="1">
      <c r="A418">
        <v>4207</v>
      </c>
      <c r="B418" t="s">
        <v>2072</v>
      </c>
      <c r="C418" s="46">
        <v>287744</v>
      </c>
      <c r="D418" s="46">
        <v>256261</v>
      </c>
      <c r="E418" s="46">
        <v>283844</v>
      </c>
      <c r="F418">
        <v>12.28</v>
      </c>
      <c r="G418">
        <v>1.37</v>
      </c>
      <c r="H418" s="46">
        <v>2993084</v>
      </c>
      <c r="I418" s="46">
        <v>3111927</v>
      </c>
      <c r="J418">
        <v>-3.81</v>
      </c>
      <c r="K418">
        <v>1</v>
      </c>
    </row>
    <row r="419" spans="1:11" customFormat="1" hidden="1">
      <c r="A419" s="288">
        <v>4205</v>
      </c>
      <c r="B419" s="288" t="s">
        <v>2071</v>
      </c>
      <c r="C419" s="46">
        <v>107945</v>
      </c>
      <c r="D419" s="46">
        <v>116468</v>
      </c>
      <c r="E419" s="46">
        <v>98689</v>
      </c>
      <c r="F419">
        <v>-7.31</v>
      </c>
      <c r="G419">
        <v>9.3699999999999992</v>
      </c>
      <c r="H419" s="46">
        <v>1188488</v>
      </c>
      <c r="I419" s="46">
        <v>1118709</v>
      </c>
      <c r="J419">
        <v>6.23</v>
      </c>
      <c r="K419">
        <v>0</v>
      </c>
    </row>
    <row r="420" spans="1:11" customFormat="1" hidden="1">
      <c r="A420">
        <v>4198</v>
      </c>
      <c r="B420" t="s">
        <v>375</v>
      </c>
      <c r="C420" s="46">
        <v>46871</v>
      </c>
      <c r="D420" s="46">
        <v>30971</v>
      </c>
      <c r="E420" s="46">
        <v>37462</v>
      </c>
      <c r="F420">
        <v>51.33</v>
      </c>
      <c r="G420">
        <v>25.11</v>
      </c>
      <c r="H420" s="46">
        <v>562000</v>
      </c>
      <c r="I420" s="46">
        <v>530353</v>
      </c>
      <c r="J420">
        <v>5.96</v>
      </c>
      <c r="K420">
        <v>0</v>
      </c>
    </row>
    <row r="421" spans="1:11" customFormat="1" hidden="1">
      <c r="A421">
        <v>4192</v>
      </c>
      <c r="B421" t="s">
        <v>2286</v>
      </c>
      <c r="C421" s="46">
        <v>511</v>
      </c>
      <c r="D421" s="46">
        <v>558</v>
      </c>
      <c r="E421" s="46">
        <v>423</v>
      </c>
      <c r="F421">
        <v>-8.42</v>
      </c>
      <c r="G421">
        <v>20.8</v>
      </c>
      <c r="H421" s="46">
        <v>14708</v>
      </c>
      <c r="I421" s="46">
        <v>4571</v>
      </c>
      <c r="J421">
        <v>221.76</v>
      </c>
      <c r="K421">
        <v>0</v>
      </c>
    </row>
    <row r="422" spans="1:11" customFormat="1" hidden="1">
      <c r="A422">
        <v>4188</v>
      </c>
      <c r="B422" t="s">
        <v>2109</v>
      </c>
      <c r="C422" s="46">
        <v>57</v>
      </c>
      <c r="D422" s="46">
        <v>31</v>
      </c>
      <c r="E422" s="46">
        <v>0</v>
      </c>
      <c r="F422">
        <v>83.87</v>
      </c>
      <c r="H422" s="46">
        <v>88</v>
      </c>
      <c r="I422" s="46">
        <v>0</v>
      </c>
      <c r="K422">
        <v>1</v>
      </c>
    </row>
    <row r="423" spans="1:11" customFormat="1" hidden="1">
      <c r="A423">
        <v>4180</v>
      </c>
      <c r="B423" t="s">
        <v>2285</v>
      </c>
      <c r="C423" s="46">
        <v>46490</v>
      </c>
      <c r="D423" s="46">
        <v>63540</v>
      </c>
      <c r="E423" s="46">
        <v>40196</v>
      </c>
      <c r="F423">
        <v>-26.83</v>
      </c>
      <c r="G423">
        <v>15.65</v>
      </c>
      <c r="H423" s="46">
        <v>408280</v>
      </c>
      <c r="I423" s="46">
        <v>314187</v>
      </c>
      <c r="J423">
        <v>29.94</v>
      </c>
      <c r="K423">
        <v>1</v>
      </c>
    </row>
    <row r="424" spans="1:11" customFormat="1" hidden="1">
      <c r="A424">
        <v>4175</v>
      </c>
      <c r="B424" t="s">
        <v>374</v>
      </c>
      <c r="C424" s="46">
        <v>309111</v>
      </c>
      <c r="D424" s="46">
        <v>343294</v>
      </c>
      <c r="E424" s="46">
        <v>282104</v>
      </c>
      <c r="F424">
        <v>-9.9499999999999993</v>
      </c>
      <c r="G424">
        <v>9.57</v>
      </c>
      <c r="H424" s="46">
        <v>3477919</v>
      </c>
      <c r="I424" s="46">
        <v>3235082</v>
      </c>
      <c r="J424">
        <v>7.5</v>
      </c>
      <c r="K424">
        <v>0</v>
      </c>
    </row>
    <row r="425" spans="1:11" customFormat="1" hidden="1">
      <c r="A425">
        <v>4174</v>
      </c>
      <c r="B425" t="s">
        <v>373</v>
      </c>
      <c r="C425" s="46">
        <v>0</v>
      </c>
      <c r="D425" s="46">
        <v>0</v>
      </c>
      <c r="E425" s="46">
        <v>0</v>
      </c>
      <c r="H425" s="46">
        <v>0</v>
      </c>
      <c r="I425" s="46">
        <v>0</v>
      </c>
      <c r="K425">
        <v>0</v>
      </c>
    </row>
    <row r="426" spans="1:11" customFormat="1" hidden="1">
      <c r="A426">
        <v>4173</v>
      </c>
      <c r="B426" t="s">
        <v>372</v>
      </c>
      <c r="C426" s="46">
        <v>129374</v>
      </c>
      <c r="D426" s="46">
        <v>116018</v>
      </c>
      <c r="E426" s="46">
        <v>112263</v>
      </c>
      <c r="F426">
        <v>11.51</v>
      </c>
      <c r="G426">
        <v>15.24</v>
      </c>
      <c r="H426" s="46">
        <v>1241949</v>
      </c>
      <c r="I426" s="46">
        <v>1241434</v>
      </c>
      <c r="J426">
        <v>0.04</v>
      </c>
      <c r="K426">
        <v>1</v>
      </c>
    </row>
    <row r="427" spans="1:11" customFormat="1" hidden="1">
      <c r="A427">
        <v>4171</v>
      </c>
      <c r="B427" t="s">
        <v>2108</v>
      </c>
      <c r="C427" s="46">
        <v>11048</v>
      </c>
      <c r="D427" s="46">
        <v>14834</v>
      </c>
      <c r="E427" s="46">
        <v>9927</v>
      </c>
      <c r="F427">
        <v>-25.52</v>
      </c>
      <c r="G427">
        <v>11.29</v>
      </c>
      <c r="H427" s="46">
        <v>138404</v>
      </c>
      <c r="I427" s="46">
        <v>125646</v>
      </c>
      <c r="J427">
        <v>10.15</v>
      </c>
      <c r="K427">
        <v>0</v>
      </c>
    </row>
    <row r="428" spans="1:11" customFormat="1" hidden="1">
      <c r="A428">
        <v>4168</v>
      </c>
      <c r="B428" t="s">
        <v>371</v>
      </c>
      <c r="C428" s="46">
        <v>15</v>
      </c>
      <c r="D428" s="46">
        <v>1314</v>
      </c>
      <c r="E428" s="46">
        <v>133</v>
      </c>
      <c r="F428">
        <v>-98.85</v>
      </c>
      <c r="G428">
        <v>-88.72</v>
      </c>
      <c r="H428" s="46">
        <v>6894</v>
      </c>
      <c r="I428" s="46">
        <v>629</v>
      </c>
      <c r="J428">
        <v>996.02</v>
      </c>
      <c r="K428">
        <v>0</v>
      </c>
    </row>
    <row r="429" spans="1:11" customFormat="1" hidden="1">
      <c r="A429">
        <v>4167</v>
      </c>
      <c r="B429" t="s">
        <v>370</v>
      </c>
      <c r="C429" s="46">
        <v>91079</v>
      </c>
      <c r="D429" s="46">
        <v>95980</v>
      </c>
      <c r="E429" s="46">
        <v>111846</v>
      </c>
      <c r="F429">
        <v>-5.0999999999999996</v>
      </c>
      <c r="G429">
        <v>-18.559999999999999</v>
      </c>
      <c r="H429" s="46">
        <v>1054796</v>
      </c>
      <c r="I429" s="46">
        <v>909915</v>
      </c>
      <c r="J429">
        <v>15.92</v>
      </c>
      <c r="K429">
        <v>0</v>
      </c>
    </row>
    <row r="430" spans="1:11" customFormat="1" hidden="1">
      <c r="A430">
        <v>4163</v>
      </c>
      <c r="B430" t="s">
        <v>2107</v>
      </c>
      <c r="C430" s="46">
        <v>159351</v>
      </c>
      <c r="D430" s="46">
        <v>158144</v>
      </c>
      <c r="E430" s="46">
        <v>123932</v>
      </c>
      <c r="F430">
        <v>0.76</v>
      </c>
      <c r="G430">
        <v>28.57</v>
      </c>
      <c r="H430" s="46">
        <v>1723657</v>
      </c>
      <c r="I430" s="46">
        <v>1668388</v>
      </c>
      <c r="J430">
        <v>3.31</v>
      </c>
      <c r="K430">
        <v>0</v>
      </c>
    </row>
    <row r="431" spans="1:11" customFormat="1" hidden="1">
      <c r="A431">
        <v>4162</v>
      </c>
      <c r="B431" t="s">
        <v>369</v>
      </c>
      <c r="C431" s="46">
        <v>43</v>
      </c>
      <c r="D431" s="46">
        <v>134</v>
      </c>
      <c r="E431" s="46">
        <v>64</v>
      </c>
      <c r="F431">
        <v>-67.91</v>
      </c>
      <c r="G431">
        <v>-32.81</v>
      </c>
      <c r="H431" s="46">
        <v>505946</v>
      </c>
      <c r="I431" s="46">
        <v>226466</v>
      </c>
      <c r="J431">
        <v>123.4</v>
      </c>
      <c r="K431">
        <v>0</v>
      </c>
    </row>
    <row r="432" spans="1:11" customFormat="1" hidden="1">
      <c r="A432">
        <v>4161</v>
      </c>
      <c r="B432" t="s">
        <v>2106</v>
      </c>
      <c r="C432" s="46">
        <v>42366</v>
      </c>
      <c r="D432" s="46">
        <v>38826</v>
      </c>
      <c r="E432" s="46">
        <v>34526</v>
      </c>
      <c r="F432">
        <v>9.11</v>
      </c>
      <c r="G432">
        <v>22.7</v>
      </c>
      <c r="H432" s="46">
        <v>414893</v>
      </c>
      <c r="I432" s="46">
        <v>357122</v>
      </c>
      <c r="J432">
        <v>16.170000000000002</v>
      </c>
      <c r="K432">
        <v>1</v>
      </c>
    </row>
    <row r="433" spans="1:11" customFormat="1" hidden="1">
      <c r="A433" s="288">
        <v>4160</v>
      </c>
      <c r="B433" s="288" t="s">
        <v>2284</v>
      </c>
      <c r="C433" s="46">
        <v>28615</v>
      </c>
      <c r="D433" s="46">
        <v>27501</v>
      </c>
      <c r="E433" s="46">
        <v>14355</v>
      </c>
      <c r="F433">
        <v>4.05</v>
      </c>
      <c r="G433">
        <v>99.33</v>
      </c>
      <c r="H433" s="46">
        <v>250554</v>
      </c>
      <c r="I433" s="46">
        <v>196444</v>
      </c>
      <c r="J433">
        <v>27.54</v>
      </c>
      <c r="K433">
        <v>1</v>
      </c>
    </row>
    <row r="434" spans="1:11" customFormat="1" hidden="1">
      <c r="A434">
        <v>4153</v>
      </c>
      <c r="B434" t="s">
        <v>368</v>
      </c>
      <c r="C434" s="46">
        <v>100558</v>
      </c>
      <c r="D434" s="46">
        <v>91926</v>
      </c>
      <c r="E434" s="46">
        <v>86769</v>
      </c>
      <c r="F434">
        <v>9.39</v>
      </c>
      <c r="G434">
        <v>15.89</v>
      </c>
      <c r="H434" s="46">
        <v>1199629</v>
      </c>
      <c r="I434" s="46">
        <v>841701</v>
      </c>
      <c r="J434">
        <v>42.52</v>
      </c>
      <c r="K434">
        <v>0</v>
      </c>
    </row>
    <row r="435" spans="1:11" customFormat="1" hidden="1">
      <c r="A435" s="288">
        <v>4152</v>
      </c>
      <c r="B435" s="288" t="s">
        <v>367</v>
      </c>
      <c r="C435" s="46">
        <v>3847</v>
      </c>
      <c r="D435" s="46">
        <v>3696</v>
      </c>
      <c r="E435" s="46">
        <v>3248</v>
      </c>
      <c r="F435">
        <v>4.08</v>
      </c>
      <c r="G435">
        <v>18.440000000000001</v>
      </c>
      <c r="H435" s="46">
        <v>55905</v>
      </c>
      <c r="I435" s="46">
        <v>92519</v>
      </c>
      <c r="J435" s="289">
        <v>-39.57</v>
      </c>
      <c r="K435">
        <v>0</v>
      </c>
    </row>
    <row r="436" spans="1:11" customFormat="1" hidden="1">
      <c r="A436">
        <v>4147</v>
      </c>
      <c r="B436" t="s">
        <v>2105</v>
      </c>
      <c r="C436" s="46">
        <v>0</v>
      </c>
      <c r="D436" s="46">
        <v>0</v>
      </c>
      <c r="E436" s="46">
        <v>0</v>
      </c>
      <c r="H436" s="46">
        <v>0</v>
      </c>
      <c r="I436" s="46">
        <v>0</v>
      </c>
      <c r="K436">
        <v>0</v>
      </c>
    </row>
    <row r="437" spans="1:11" customFormat="1" hidden="1">
      <c r="A437" s="288">
        <v>4138</v>
      </c>
      <c r="B437" s="288" t="s">
        <v>2283</v>
      </c>
      <c r="C437" s="46">
        <v>98935</v>
      </c>
      <c r="D437" s="46">
        <v>96699</v>
      </c>
      <c r="E437" s="46">
        <v>97913</v>
      </c>
      <c r="F437">
        <v>2.31</v>
      </c>
      <c r="G437">
        <v>1.04</v>
      </c>
      <c r="H437" s="46">
        <v>1188782</v>
      </c>
      <c r="I437" s="46">
        <v>1079934</v>
      </c>
      <c r="J437">
        <v>10.07</v>
      </c>
      <c r="K437">
        <v>0</v>
      </c>
    </row>
    <row r="438" spans="1:11" customFormat="1" hidden="1">
      <c r="A438">
        <v>4131</v>
      </c>
      <c r="B438" t="s">
        <v>2104</v>
      </c>
      <c r="C438" s="46">
        <v>1473</v>
      </c>
      <c r="D438" s="46">
        <v>1879</v>
      </c>
      <c r="E438" s="46">
        <v>7642</v>
      </c>
      <c r="F438">
        <v>-21.6</v>
      </c>
      <c r="G438">
        <v>-80.72</v>
      </c>
      <c r="H438" s="46">
        <v>20084</v>
      </c>
      <c r="I438" s="46">
        <v>25987</v>
      </c>
      <c r="J438">
        <v>-22.71</v>
      </c>
      <c r="K438">
        <v>0</v>
      </c>
    </row>
    <row r="439" spans="1:11" customFormat="1" hidden="1">
      <c r="A439">
        <v>4130</v>
      </c>
      <c r="B439" t="s">
        <v>366</v>
      </c>
      <c r="C439" s="46">
        <v>41253</v>
      </c>
      <c r="D439" s="46">
        <v>43372</v>
      </c>
      <c r="E439" s="46">
        <v>33426</v>
      </c>
      <c r="F439">
        <v>-4.88</v>
      </c>
      <c r="G439">
        <v>23.41</v>
      </c>
      <c r="H439" s="46">
        <v>434388</v>
      </c>
      <c r="I439" s="46">
        <v>443488</v>
      </c>
      <c r="J439">
        <v>-2.0499999999999998</v>
      </c>
      <c r="K439">
        <v>0</v>
      </c>
    </row>
    <row r="440" spans="1:11" customFormat="1" hidden="1">
      <c r="A440">
        <v>4129</v>
      </c>
      <c r="B440" t="s">
        <v>2282</v>
      </c>
      <c r="C440" s="46">
        <v>112521</v>
      </c>
      <c r="D440" s="46">
        <v>116460</v>
      </c>
      <c r="E440" s="46">
        <v>93362</v>
      </c>
      <c r="F440">
        <v>-3.38</v>
      </c>
      <c r="G440">
        <v>20.52</v>
      </c>
      <c r="H440" s="46">
        <v>1248457</v>
      </c>
      <c r="I440" s="46">
        <v>987483</v>
      </c>
      <c r="J440">
        <v>26.42</v>
      </c>
      <c r="K440">
        <v>0</v>
      </c>
    </row>
    <row r="441" spans="1:11" customFormat="1" hidden="1">
      <c r="A441">
        <v>4128</v>
      </c>
      <c r="B441" t="s">
        <v>2281</v>
      </c>
      <c r="C441" s="46">
        <v>128749</v>
      </c>
      <c r="D441" s="46">
        <v>155997</v>
      </c>
      <c r="E441" s="46">
        <v>149046</v>
      </c>
      <c r="F441">
        <v>-17.46</v>
      </c>
      <c r="G441">
        <v>-13.61</v>
      </c>
      <c r="H441" s="46">
        <v>1399331</v>
      </c>
      <c r="I441" s="46">
        <v>1280214</v>
      </c>
      <c r="J441">
        <v>9.3000000000000007</v>
      </c>
      <c r="K441">
        <v>0</v>
      </c>
    </row>
    <row r="442" spans="1:11" customFormat="1" hidden="1">
      <c r="A442">
        <v>4127</v>
      </c>
      <c r="B442" t="s">
        <v>2280</v>
      </c>
      <c r="C442" s="46">
        <v>60555</v>
      </c>
      <c r="D442" s="46">
        <v>70143</v>
      </c>
      <c r="E442" s="46">
        <v>66843</v>
      </c>
      <c r="F442">
        <v>-13.66</v>
      </c>
      <c r="G442">
        <v>-9.4</v>
      </c>
      <c r="H442" s="46">
        <v>784248</v>
      </c>
      <c r="I442" s="46">
        <v>776005</v>
      </c>
      <c r="J442">
        <v>1.06</v>
      </c>
      <c r="K442">
        <v>0</v>
      </c>
    </row>
    <row r="443" spans="1:11" customFormat="1" hidden="1">
      <c r="A443">
        <v>4126</v>
      </c>
      <c r="B443" t="s">
        <v>365</v>
      </c>
      <c r="C443" s="46">
        <v>135278</v>
      </c>
      <c r="D443" s="46">
        <v>149070</v>
      </c>
      <c r="E443" s="46">
        <v>121682</v>
      </c>
      <c r="F443">
        <v>-9.25</v>
      </c>
      <c r="G443">
        <v>11.17</v>
      </c>
      <c r="H443" s="46">
        <v>1441041</v>
      </c>
      <c r="I443" s="46">
        <v>1376755</v>
      </c>
      <c r="J443">
        <v>4.66</v>
      </c>
      <c r="K443">
        <v>0</v>
      </c>
    </row>
    <row r="444" spans="1:11" customFormat="1">
      <c r="A444" s="288" t="str">
        <f>HYPERLINK("http://tw.stock.yahoo.com/q/ta?s=6023","6023")</f>
        <v>6023</v>
      </c>
      <c r="B444" s="288" t="str">
        <f>HYPERLINK("http://tw.stock.yahoo.com/d/s/earning_6023.html","元大期貨")</f>
        <v>元大期貨</v>
      </c>
      <c r="C444" s="46">
        <v>292856</v>
      </c>
      <c r="D444" s="46">
        <v>227077</v>
      </c>
      <c r="E444" s="46">
        <v>191732</v>
      </c>
      <c r="F444">
        <v>28.96</v>
      </c>
      <c r="G444">
        <v>52.74</v>
      </c>
      <c r="H444" s="46">
        <v>2663591</v>
      </c>
      <c r="I444" s="46">
        <v>2024129</v>
      </c>
      <c r="J444">
        <v>31.59</v>
      </c>
      <c r="K444">
        <v>1</v>
      </c>
    </row>
    <row r="445" spans="1:11" customFormat="1" hidden="1">
      <c r="A445">
        <v>4121</v>
      </c>
      <c r="B445" t="s">
        <v>2103</v>
      </c>
      <c r="C445" s="46">
        <v>281440</v>
      </c>
      <c r="D445" s="46">
        <v>280908</v>
      </c>
      <c r="E445" s="46">
        <v>282420</v>
      </c>
      <c r="F445">
        <v>0.18</v>
      </c>
      <c r="G445">
        <v>-0.34</v>
      </c>
      <c r="H445" s="46">
        <v>3116089</v>
      </c>
      <c r="I445" s="46">
        <v>3022886</v>
      </c>
      <c r="J445">
        <v>3.08</v>
      </c>
      <c r="K445">
        <v>0</v>
      </c>
    </row>
    <row r="446" spans="1:11" customFormat="1" hidden="1">
      <c r="A446">
        <v>4120</v>
      </c>
      <c r="B446" t="s">
        <v>364</v>
      </c>
      <c r="C446" s="46">
        <v>421374</v>
      </c>
      <c r="D446" s="46">
        <v>411736</v>
      </c>
      <c r="E446" s="46">
        <v>404093</v>
      </c>
      <c r="F446">
        <v>2.34</v>
      </c>
      <c r="G446">
        <v>4.2699999999999996</v>
      </c>
      <c r="H446" s="46">
        <v>4554271</v>
      </c>
      <c r="I446" s="46">
        <v>4576436</v>
      </c>
      <c r="J446">
        <v>-0.48</v>
      </c>
      <c r="K446">
        <v>0</v>
      </c>
    </row>
    <row r="447" spans="1:11" customFormat="1" hidden="1">
      <c r="A447">
        <v>4114</v>
      </c>
      <c r="B447" t="s">
        <v>2102</v>
      </c>
      <c r="C447" s="46">
        <v>150259</v>
      </c>
      <c r="D447" s="46">
        <v>161269</v>
      </c>
      <c r="E447" s="46">
        <v>122712</v>
      </c>
      <c r="F447">
        <v>-6.82</v>
      </c>
      <c r="G447">
        <v>22.44</v>
      </c>
      <c r="H447" s="46">
        <v>1620467</v>
      </c>
      <c r="I447" s="46">
        <v>1351325</v>
      </c>
      <c r="J447">
        <v>19.91</v>
      </c>
      <c r="K447">
        <v>0</v>
      </c>
    </row>
    <row r="448" spans="1:11" customFormat="1" hidden="1">
      <c r="A448" s="288">
        <v>4113</v>
      </c>
      <c r="B448" s="288" t="s">
        <v>363</v>
      </c>
      <c r="C448" s="46">
        <v>93142</v>
      </c>
      <c r="D448" s="46">
        <v>76941</v>
      </c>
      <c r="E448" s="46">
        <v>122699</v>
      </c>
      <c r="F448">
        <v>21.05</v>
      </c>
      <c r="G448">
        <v>-24.08</v>
      </c>
      <c r="H448" s="46">
        <v>487309</v>
      </c>
      <c r="I448" s="46">
        <v>2444882</v>
      </c>
      <c r="J448">
        <v>-80.06</v>
      </c>
      <c r="K448">
        <v>1</v>
      </c>
    </row>
    <row r="449" spans="1:11" customFormat="1" hidden="1">
      <c r="A449" s="288">
        <v>4111</v>
      </c>
      <c r="B449" s="288" t="s">
        <v>2101</v>
      </c>
      <c r="C449" s="46">
        <v>78436</v>
      </c>
      <c r="D449" s="46">
        <v>78344</v>
      </c>
      <c r="E449" s="46">
        <v>64954</v>
      </c>
      <c r="F449">
        <v>0.11</v>
      </c>
      <c r="G449">
        <v>20.75</v>
      </c>
      <c r="H449" s="46">
        <v>857087</v>
      </c>
      <c r="I449" s="46">
        <v>871933</v>
      </c>
      <c r="J449">
        <v>-1.7</v>
      </c>
      <c r="K449">
        <v>0</v>
      </c>
    </row>
    <row r="450" spans="1:11" customFormat="1">
      <c r="A450" s="288" t="str">
        <f>HYPERLINK("http://tw.stock.yahoo.com/q/ta?s=3169","3169")</f>
        <v>3169</v>
      </c>
      <c r="B450" s="288" t="str">
        <f>HYPERLINK("http://tw.stock.yahoo.com/d/s/earning_3169.html","亞信電子")</f>
        <v>亞信電子</v>
      </c>
      <c r="C450" s="46">
        <v>67272</v>
      </c>
      <c r="D450" s="46">
        <v>63011</v>
      </c>
      <c r="E450" s="46">
        <v>47509</v>
      </c>
      <c r="F450">
        <v>6.76</v>
      </c>
      <c r="G450">
        <v>41.59</v>
      </c>
      <c r="H450" s="46">
        <v>563301</v>
      </c>
      <c r="I450" s="46">
        <v>428362</v>
      </c>
      <c r="J450">
        <v>31.5</v>
      </c>
      <c r="K450">
        <v>1</v>
      </c>
    </row>
    <row r="451" spans="1:11" customFormat="1" hidden="1">
      <c r="A451">
        <v>4107</v>
      </c>
      <c r="B451" t="s">
        <v>2279</v>
      </c>
      <c r="C451" s="46">
        <v>110001</v>
      </c>
      <c r="D451" s="46">
        <v>118313</v>
      </c>
      <c r="E451" s="46">
        <v>100538</v>
      </c>
      <c r="F451">
        <v>-7.02</v>
      </c>
      <c r="G451">
        <v>9.41</v>
      </c>
      <c r="H451" s="46">
        <v>1147163</v>
      </c>
      <c r="I451" s="46">
        <v>1023512</v>
      </c>
      <c r="J451">
        <v>12.08</v>
      </c>
      <c r="K451">
        <v>1</v>
      </c>
    </row>
    <row r="452" spans="1:11" customFormat="1" hidden="1">
      <c r="A452" s="288">
        <v>4105</v>
      </c>
      <c r="B452" s="288" t="s">
        <v>2100</v>
      </c>
      <c r="C452" s="46">
        <v>296637</v>
      </c>
      <c r="D452" s="46">
        <v>305741</v>
      </c>
      <c r="E452" s="46">
        <v>222897</v>
      </c>
      <c r="F452">
        <v>-2.97</v>
      </c>
      <c r="G452">
        <v>33.08</v>
      </c>
      <c r="H452" s="46">
        <v>2872600</v>
      </c>
      <c r="I452" s="46">
        <v>2655856</v>
      </c>
      <c r="J452">
        <v>8.16</v>
      </c>
      <c r="K452">
        <v>1</v>
      </c>
    </row>
    <row r="453" spans="1:11" customFormat="1" hidden="1">
      <c r="A453">
        <v>4103</v>
      </c>
      <c r="B453" t="s">
        <v>2099</v>
      </c>
      <c r="C453" s="46">
        <v>671312</v>
      </c>
      <c r="D453" s="46">
        <v>835548</v>
      </c>
      <c r="E453" s="46">
        <v>559303</v>
      </c>
      <c r="F453">
        <v>-19.649999999999999</v>
      </c>
      <c r="G453">
        <v>20.02</v>
      </c>
      <c r="H453" s="46">
        <v>5681077</v>
      </c>
      <c r="I453" s="46">
        <v>5317450</v>
      </c>
      <c r="J453">
        <v>6.83</v>
      </c>
      <c r="K453">
        <v>1</v>
      </c>
    </row>
    <row r="454" spans="1:11" customFormat="1" hidden="1">
      <c r="A454" s="288">
        <v>4102</v>
      </c>
      <c r="B454" s="288" t="s">
        <v>2278</v>
      </c>
      <c r="C454" s="46">
        <v>19794</v>
      </c>
      <c r="D454" s="46">
        <v>34166</v>
      </c>
      <c r="E454" s="46">
        <v>19918</v>
      </c>
      <c r="F454">
        <v>-42.06</v>
      </c>
      <c r="G454">
        <v>-0.62</v>
      </c>
      <c r="H454" s="46">
        <v>286435</v>
      </c>
      <c r="I454" s="46">
        <v>250442</v>
      </c>
      <c r="J454">
        <v>14.37</v>
      </c>
      <c r="K454">
        <v>0</v>
      </c>
    </row>
    <row r="455" spans="1:11" customFormat="1" hidden="1">
      <c r="A455">
        <v>3707</v>
      </c>
      <c r="B455" t="s">
        <v>362</v>
      </c>
      <c r="C455" s="46">
        <v>279865</v>
      </c>
      <c r="D455" s="46">
        <v>285384</v>
      </c>
      <c r="E455" s="46">
        <v>254775</v>
      </c>
      <c r="F455">
        <v>-1.93</v>
      </c>
      <c r="G455">
        <v>9.84</v>
      </c>
      <c r="H455" s="46">
        <v>2970268</v>
      </c>
      <c r="I455" s="46">
        <v>496261</v>
      </c>
      <c r="J455">
        <v>498.52</v>
      </c>
      <c r="K455">
        <v>0</v>
      </c>
    </row>
    <row r="456" spans="1:11" customFormat="1" hidden="1">
      <c r="A456">
        <v>3693</v>
      </c>
      <c r="B456" t="s">
        <v>361</v>
      </c>
      <c r="C456" s="46">
        <v>211212</v>
      </c>
      <c r="D456" s="46">
        <v>361858</v>
      </c>
      <c r="E456" s="46">
        <v>245928</v>
      </c>
      <c r="F456">
        <v>-41.63</v>
      </c>
      <c r="G456">
        <v>-14.11</v>
      </c>
      <c r="H456" s="46">
        <v>4733943</v>
      </c>
      <c r="I456" s="46">
        <v>3233892</v>
      </c>
      <c r="J456">
        <v>46.38</v>
      </c>
      <c r="K456">
        <v>0</v>
      </c>
    </row>
    <row r="457" spans="1:11" customFormat="1" hidden="1">
      <c r="A457">
        <v>3691</v>
      </c>
      <c r="B457" t="s">
        <v>1558</v>
      </c>
      <c r="C457" s="46">
        <v>1643183</v>
      </c>
      <c r="D457" s="46">
        <v>1607643</v>
      </c>
      <c r="E457" s="46">
        <v>1002811</v>
      </c>
      <c r="F457">
        <v>2.21</v>
      </c>
      <c r="G457">
        <v>63.85</v>
      </c>
      <c r="H457" s="46">
        <v>14124636</v>
      </c>
      <c r="I457" s="46">
        <v>8675356</v>
      </c>
      <c r="J457">
        <v>62.81</v>
      </c>
      <c r="K457">
        <v>1</v>
      </c>
    </row>
    <row r="458" spans="1:11" customFormat="1" hidden="1">
      <c r="A458">
        <v>3689</v>
      </c>
      <c r="B458" t="s">
        <v>2186</v>
      </c>
      <c r="C458" s="46">
        <v>393798</v>
      </c>
      <c r="D458" s="46">
        <v>390411</v>
      </c>
      <c r="E458" s="46">
        <v>408423</v>
      </c>
      <c r="F458">
        <v>0.86</v>
      </c>
      <c r="G458">
        <v>-3.58</v>
      </c>
      <c r="H458" s="46">
        <v>4142345</v>
      </c>
      <c r="I458" s="46">
        <v>4757282</v>
      </c>
      <c r="J458">
        <v>-12.92</v>
      </c>
      <c r="K458">
        <v>0</v>
      </c>
    </row>
    <row r="459" spans="1:11" customFormat="1">
      <c r="A459" s="288" t="str">
        <f>HYPERLINK("http://tw.stock.yahoo.com/q/ta?s=3163","3163")</f>
        <v>3163</v>
      </c>
      <c r="B459" s="288" t="str">
        <f>HYPERLINK("http://tw.stock.yahoo.com/d/s/earning_3163.html","波若威")</f>
        <v>波若威</v>
      </c>
      <c r="C459" s="46">
        <v>219328</v>
      </c>
      <c r="D459" s="46">
        <v>170466</v>
      </c>
      <c r="E459" s="46">
        <v>153665</v>
      </c>
      <c r="F459">
        <v>28.66</v>
      </c>
      <c r="G459">
        <v>42.73</v>
      </c>
      <c r="H459" s="46">
        <v>2210087</v>
      </c>
      <c r="I459" s="46">
        <v>1702820</v>
      </c>
      <c r="J459">
        <v>29.78</v>
      </c>
      <c r="K459">
        <v>1</v>
      </c>
    </row>
    <row r="460" spans="1:11" customFormat="1" hidden="1">
      <c r="A460" s="288">
        <v>3685</v>
      </c>
      <c r="B460" s="288" t="s">
        <v>1556</v>
      </c>
      <c r="C460" s="46">
        <v>41115</v>
      </c>
      <c r="D460" s="46">
        <v>33738</v>
      </c>
      <c r="E460" s="46">
        <v>62394</v>
      </c>
      <c r="F460">
        <v>21.86</v>
      </c>
      <c r="G460">
        <v>-34.1</v>
      </c>
      <c r="H460" s="46">
        <v>531255</v>
      </c>
      <c r="I460" s="46">
        <v>538696</v>
      </c>
      <c r="J460">
        <v>-1.38</v>
      </c>
      <c r="K460">
        <v>0</v>
      </c>
    </row>
    <row r="461" spans="1:11" customFormat="1" hidden="1">
      <c r="A461">
        <v>3684</v>
      </c>
      <c r="B461" t="s">
        <v>1555</v>
      </c>
      <c r="C461" s="46">
        <v>52543</v>
      </c>
      <c r="D461" s="46">
        <v>61343</v>
      </c>
      <c r="E461" s="46">
        <v>44889</v>
      </c>
      <c r="F461">
        <v>-14.34</v>
      </c>
      <c r="G461">
        <v>17.05</v>
      </c>
      <c r="H461" s="46">
        <v>624050</v>
      </c>
      <c r="I461" s="46">
        <v>457412</v>
      </c>
      <c r="J461">
        <v>36.43</v>
      </c>
      <c r="K461">
        <v>0</v>
      </c>
    </row>
    <row r="462" spans="1:11" customFormat="1" hidden="1">
      <c r="A462">
        <v>3680</v>
      </c>
      <c r="B462" t="s">
        <v>2127</v>
      </c>
      <c r="C462" s="46">
        <v>169237</v>
      </c>
      <c r="D462" s="46">
        <v>177036</v>
      </c>
      <c r="E462" s="46">
        <v>126742</v>
      </c>
      <c r="F462">
        <v>-4.4000000000000004</v>
      </c>
      <c r="G462">
        <v>33.520000000000003</v>
      </c>
      <c r="H462" s="46">
        <v>1718520</v>
      </c>
      <c r="I462" s="46">
        <v>1642136</v>
      </c>
      <c r="J462">
        <v>4.6500000000000004</v>
      </c>
      <c r="K462">
        <v>1</v>
      </c>
    </row>
    <row r="463" spans="1:11" customFormat="1" hidden="1">
      <c r="A463">
        <v>3675</v>
      </c>
      <c r="B463" t="s">
        <v>2126</v>
      </c>
      <c r="C463" s="46">
        <v>73512</v>
      </c>
      <c r="D463" s="46">
        <v>76526</v>
      </c>
      <c r="E463" s="46">
        <v>80031</v>
      </c>
      <c r="F463">
        <v>-3.93</v>
      </c>
      <c r="G463">
        <v>-8.14</v>
      </c>
      <c r="H463" s="46">
        <v>980858</v>
      </c>
      <c r="I463" s="46">
        <v>1015743</v>
      </c>
      <c r="J463">
        <v>-3.43</v>
      </c>
      <c r="K463">
        <v>0</v>
      </c>
    </row>
    <row r="464" spans="1:11" customFormat="1" hidden="1">
      <c r="A464">
        <v>3672</v>
      </c>
      <c r="B464" t="s">
        <v>359</v>
      </c>
      <c r="C464" s="46">
        <v>65851</v>
      </c>
      <c r="D464" s="46">
        <v>71420</v>
      </c>
      <c r="E464" s="46">
        <v>70662</v>
      </c>
      <c r="F464">
        <v>-7.79</v>
      </c>
      <c r="G464">
        <v>-6.8</v>
      </c>
      <c r="H464" s="46">
        <v>775291</v>
      </c>
      <c r="I464" s="46">
        <v>686696</v>
      </c>
      <c r="J464">
        <v>12.9</v>
      </c>
      <c r="K464">
        <v>0</v>
      </c>
    </row>
    <row r="465" spans="1:11" customFormat="1" hidden="1">
      <c r="A465">
        <v>3666</v>
      </c>
      <c r="B465" t="s">
        <v>358</v>
      </c>
      <c r="C465" s="46">
        <v>136305</v>
      </c>
      <c r="D465" s="46">
        <v>110286</v>
      </c>
      <c r="E465" s="46">
        <v>105245</v>
      </c>
      <c r="F465">
        <v>23.59</v>
      </c>
      <c r="G465">
        <v>29.51</v>
      </c>
      <c r="H465" s="46">
        <v>1040020</v>
      </c>
      <c r="I465" s="46">
        <v>1433170</v>
      </c>
      <c r="J465">
        <v>-27.43</v>
      </c>
      <c r="K465">
        <v>1</v>
      </c>
    </row>
    <row r="466" spans="1:11" customFormat="1" hidden="1">
      <c r="A466">
        <v>3663</v>
      </c>
      <c r="B466" t="s">
        <v>2380</v>
      </c>
      <c r="C466" s="46">
        <v>213487</v>
      </c>
      <c r="D466" s="46">
        <v>220955</v>
      </c>
      <c r="E466" s="46">
        <v>183840</v>
      </c>
      <c r="F466">
        <v>-3.37</v>
      </c>
      <c r="G466">
        <v>16.12</v>
      </c>
      <c r="H466" s="46">
        <v>2474208</v>
      </c>
      <c r="I466" s="46">
        <v>2908776</v>
      </c>
      <c r="J466">
        <v>-14.93</v>
      </c>
      <c r="K466">
        <v>0</v>
      </c>
    </row>
    <row r="467" spans="1:11" customFormat="1" hidden="1">
      <c r="A467">
        <v>3662</v>
      </c>
      <c r="B467" t="s">
        <v>2405</v>
      </c>
      <c r="C467" s="46">
        <v>229123</v>
      </c>
      <c r="D467" s="46">
        <v>207064</v>
      </c>
      <c r="E467" s="46">
        <v>240586</v>
      </c>
      <c r="F467">
        <v>10.65</v>
      </c>
      <c r="G467">
        <v>-4.76</v>
      </c>
      <c r="H467" s="46">
        <v>1957798</v>
      </c>
      <c r="I467" s="46">
        <v>806041</v>
      </c>
      <c r="J467">
        <v>142.88999999999999</v>
      </c>
      <c r="K467">
        <v>1</v>
      </c>
    </row>
    <row r="468" spans="1:11" customFormat="1" hidden="1">
      <c r="A468">
        <v>3658</v>
      </c>
      <c r="B468" t="s">
        <v>357</v>
      </c>
      <c r="C468" s="46">
        <v>432059</v>
      </c>
      <c r="D468" s="46">
        <v>214876</v>
      </c>
      <c r="E468" s="46">
        <v>776794</v>
      </c>
      <c r="F468">
        <v>101.07</v>
      </c>
      <c r="G468">
        <v>-44.37</v>
      </c>
      <c r="H468" s="46">
        <v>5573808</v>
      </c>
      <c r="I468" s="46">
        <v>5622045</v>
      </c>
      <c r="J468">
        <v>-0.85</v>
      </c>
      <c r="K468">
        <v>0</v>
      </c>
    </row>
    <row r="469" spans="1:11" customFormat="1" hidden="1">
      <c r="A469" s="288">
        <v>3652</v>
      </c>
      <c r="B469" s="288" t="s">
        <v>356</v>
      </c>
      <c r="C469" s="46">
        <v>173138</v>
      </c>
      <c r="D469" s="46">
        <v>182081</v>
      </c>
      <c r="E469" s="46">
        <v>141839</v>
      </c>
      <c r="F469">
        <v>-4.91</v>
      </c>
      <c r="G469">
        <v>22.06</v>
      </c>
      <c r="H469" s="46">
        <v>1810826</v>
      </c>
      <c r="I469" s="46">
        <v>1708228</v>
      </c>
      <c r="J469">
        <v>6</v>
      </c>
      <c r="K469">
        <v>1</v>
      </c>
    </row>
    <row r="470" spans="1:11" customFormat="1" hidden="1">
      <c r="A470">
        <v>3646</v>
      </c>
      <c r="B470" t="s">
        <v>1549</v>
      </c>
      <c r="C470" s="46">
        <v>40163</v>
      </c>
      <c r="D470" s="46">
        <v>49263</v>
      </c>
      <c r="E470" s="46">
        <v>39716</v>
      </c>
      <c r="F470">
        <v>-18.47</v>
      </c>
      <c r="G470">
        <v>1.1200000000000001</v>
      </c>
      <c r="H470" s="46">
        <v>536641</v>
      </c>
      <c r="I470" s="46">
        <v>585130</v>
      </c>
      <c r="J470">
        <v>-8.2799999999999994</v>
      </c>
      <c r="K470">
        <v>0</v>
      </c>
    </row>
    <row r="471" spans="1:11" customFormat="1" hidden="1">
      <c r="A471">
        <v>3642</v>
      </c>
      <c r="B471" t="s">
        <v>2227</v>
      </c>
      <c r="C471" s="46">
        <v>43772</v>
      </c>
      <c r="D471" s="46">
        <v>57794</v>
      </c>
      <c r="E471" s="46">
        <v>71434</v>
      </c>
      <c r="F471">
        <v>-24.26</v>
      </c>
      <c r="G471">
        <v>-38.72</v>
      </c>
      <c r="H471" s="46">
        <v>710160</v>
      </c>
      <c r="I471" s="46">
        <v>708127</v>
      </c>
      <c r="J471">
        <v>0.28000000000000003</v>
      </c>
      <c r="K471">
        <v>0</v>
      </c>
    </row>
    <row r="472" spans="1:11" customFormat="1">
      <c r="A472" s="288" t="str">
        <f>HYPERLINK("http://tw.stock.yahoo.com/q/ta?s=8287","8287")</f>
        <v>8287</v>
      </c>
      <c r="B472" s="288" t="str">
        <f>HYPERLINK("http://tw.stock.yahoo.com/d/s/earning_8287.html","英格爾科")</f>
        <v>英格爾科</v>
      </c>
      <c r="C472" s="46">
        <v>1588370</v>
      </c>
      <c r="D472" s="46">
        <v>1368774</v>
      </c>
      <c r="E472" s="46">
        <v>1207793</v>
      </c>
      <c r="F472">
        <v>16.04</v>
      </c>
      <c r="G472">
        <v>31.51</v>
      </c>
      <c r="H472" s="46">
        <v>14526841</v>
      </c>
      <c r="I472" s="46">
        <v>11213101</v>
      </c>
      <c r="J472">
        <v>29.55</v>
      </c>
      <c r="K472">
        <v>1</v>
      </c>
    </row>
    <row r="473" spans="1:11" customFormat="1" hidden="1">
      <c r="A473">
        <v>3631</v>
      </c>
      <c r="B473" t="s">
        <v>355</v>
      </c>
      <c r="C473" s="46">
        <v>41641</v>
      </c>
      <c r="D473" s="46">
        <v>45364</v>
      </c>
      <c r="E473" s="46">
        <v>69393</v>
      </c>
      <c r="F473">
        <v>-8.1999999999999993</v>
      </c>
      <c r="G473">
        <v>-39.99</v>
      </c>
      <c r="H473" s="46">
        <v>595208</v>
      </c>
      <c r="I473" s="46">
        <v>991107</v>
      </c>
      <c r="J473">
        <v>-39.94</v>
      </c>
      <c r="K473">
        <v>0</v>
      </c>
    </row>
    <row r="474" spans="1:11" customFormat="1" hidden="1">
      <c r="A474">
        <v>3630</v>
      </c>
      <c r="B474" t="s">
        <v>354</v>
      </c>
      <c r="C474" s="46">
        <v>84683</v>
      </c>
      <c r="D474" s="46">
        <v>104675</v>
      </c>
      <c r="E474" s="46">
        <v>63799</v>
      </c>
      <c r="F474">
        <v>-19.09</v>
      </c>
      <c r="G474">
        <v>32.729999999999997</v>
      </c>
      <c r="H474" s="46">
        <v>906163</v>
      </c>
      <c r="I474" s="46">
        <v>1552115</v>
      </c>
      <c r="J474">
        <v>-41.61</v>
      </c>
      <c r="K474">
        <v>0</v>
      </c>
    </row>
    <row r="475" spans="1:11" customFormat="1" hidden="1">
      <c r="A475">
        <v>3629</v>
      </c>
      <c r="B475" t="s">
        <v>2154</v>
      </c>
      <c r="C475" s="46">
        <v>16522</v>
      </c>
      <c r="D475" s="46">
        <v>4553</v>
      </c>
      <c r="E475" s="46">
        <v>11628</v>
      </c>
      <c r="F475">
        <v>262.88</v>
      </c>
      <c r="G475">
        <v>42.08</v>
      </c>
      <c r="H475" s="46">
        <v>101276</v>
      </c>
      <c r="I475" s="46">
        <v>173398</v>
      </c>
      <c r="J475">
        <v>-41.59</v>
      </c>
      <c r="K475">
        <v>1</v>
      </c>
    </row>
    <row r="476" spans="1:11" customFormat="1" hidden="1">
      <c r="A476">
        <v>3628</v>
      </c>
      <c r="B476" t="s">
        <v>2379</v>
      </c>
      <c r="C476" s="46">
        <v>196069</v>
      </c>
      <c r="D476" s="46">
        <v>203034</v>
      </c>
      <c r="E476" s="46">
        <v>240634</v>
      </c>
      <c r="F476">
        <v>-3.43</v>
      </c>
      <c r="G476">
        <v>-18.510000000000002</v>
      </c>
      <c r="H476" s="46">
        <v>2437097</v>
      </c>
      <c r="I476" s="46">
        <v>2521535</v>
      </c>
      <c r="J476">
        <v>-3.34</v>
      </c>
      <c r="K476">
        <v>0</v>
      </c>
    </row>
    <row r="477" spans="1:11" customFormat="1" hidden="1">
      <c r="A477">
        <v>3625</v>
      </c>
      <c r="B477" t="s">
        <v>353</v>
      </c>
      <c r="C477" s="46">
        <v>90273</v>
      </c>
      <c r="D477" s="46">
        <v>70153</v>
      </c>
      <c r="E477" s="46">
        <v>62461</v>
      </c>
      <c r="F477">
        <v>28.68</v>
      </c>
      <c r="G477">
        <v>44.52</v>
      </c>
      <c r="H477" s="46">
        <v>690224</v>
      </c>
      <c r="I477" s="46">
        <v>588971</v>
      </c>
      <c r="J477">
        <v>17.190000000000001</v>
      </c>
      <c r="K477">
        <v>1</v>
      </c>
    </row>
    <row r="478" spans="1:11" customFormat="1" hidden="1">
      <c r="A478">
        <v>3624</v>
      </c>
      <c r="B478" t="s">
        <v>352</v>
      </c>
      <c r="C478" s="46">
        <v>121957</v>
      </c>
      <c r="D478" s="46">
        <v>137265</v>
      </c>
      <c r="E478" s="46">
        <v>113148</v>
      </c>
      <c r="F478">
        <v>-11.15</v>
      </c>
      <c r="G478">
        <v>7.78</v>
      </c>
      <c r="H478" s="46">
        <v>1426934</v>
      </c>
      <c r="I478" s="46">
        <v>1321789</v>
      </c>
      <c r="J478">
        <v>7.95</v>
      </c>
      <c r="K478">
        <v>0</v>
      </c>
    </row>
    <row r="479" spans="1:11" customFormat="1" hidden="1">
      <c r="A479" s="288">
        <v>3623</v>
      </c>
      <c r="B479" s="288" t="s">
        <v>351</v>
      </c>
      <c r="C479" s="46">
        <v>80270</v>
      </c>
      <c r="D479" s="46">
        <v>80147</v>
      </c>
      <c r="E479" s="46">
        <v>92562</v>
      </c>
      <c r="F479">
        <v>0.15</v>
      </c>
      <c r="G479">
        <v>-13.27</v>
      </c>
      <c r="H479" s="46">
        <v>907175</v>
      </c>
      <c r="I479" s="46">
        <v>1085909</v>
      </c>
      <c r="J479">
        <v>-16.45</v>
      </c>
      <c r="K479">
        <v>0</v>
      </c>
    </row>
    <row r="480" spans="1:11" customFormat="1" hidden="1">
      <c r="A480">
        <v>3615</v>
      </c>
      <c r="B480" t="s">
        <v>2320</v>
      </c>
      <c r="C480" s="46">
        <v>63505</v>
      </c>
      <c r="D480" s="46">
        <v>60868</v>
      </c>
      <c r="E480" s="46">
        <v>68286</v>
      </c>
      <c r="F480">
        <v>4.33</v>
      </c>
      <c r="G480">
        <v>-7</v>
      </c>
      <c r="H480" s="46">
        <v>665335</v>
      </c>
      <c r="I480" s="46">
        <v>632159</v>
      </c>
      <c r="J480">
        <v>5.24</v>
      </c>
      <c r="K480">
        <v>0</v>
      </c>
    </row>
    <row r="481" spans="1:11" customFormat="1" hidden="1">
      <c r="A481" s="187">
        <v>3611</v>
      </c>
      <c r="B481" s="187" t="s">
        <v>350</v>
      </c>
      <c r="C481" s="317">
        <v>214039</v>
      </c>
      <c r="D481" s="317">
        <v>246217</v>
      </c>
      <c r="E481" s="317">
        <v>192089</v>
      </c>
      <c r="F481" s="27">
        <v>-13.06</v>
      </c>
      <c r="G481" s="27">
        <v>11.42</v>
      </c>
      <c r="H481" s="317">
        <v>2439252</v>
      </c>
      <c r="I481" s="317">
        <v>2201404</v>
      </c>
      <c r="J481" s="27">
        <v>10.8</v>
      </c>
      <c r="K481" s="200">
        <v>0</v>
      </c>
    </row>
    <row r="482" spans="1:11" customFormat="1" hidden="1">
      <c r="A482" s="288">
        <v>3609</v>
      </c>
      <c r="B482" s="288" t="s">
        <v>349</v>
      </c>
      <c r="C482" s="46">
        <v>58085</v>
      </c>
      <c r="D482" s="46">
        <v>64404</v>
      </c>
      <c r="E482" s="46">
        <v>65574</v>
      </c>
      <c r="F482">
        <v>-9.81</v>
      </c>
      <c r="G482">
        <v>-11.42</v>
      </c>
      <c r="H482" s="46">
        <v>734719</v>
      </c>
      <c r="I482" s="46">
        <v>756149</v>
      </c>
      <c r="J482">
        <v>-2.83</v>
      </c>
      <c r="K482">
        <v>0</v>
      </c>
    </row>
    <row r="483" spans="1:11" customFormat="1" hidden="1">
      <c r="A483">
        <v>3594</v>
      </c>
      <c r="B483" t="s">
        <v>348</v>
      </c>
      <c r="C483" s="46">
        <v>120201</v>
      </c>
      <c r="D483" s="46">
        <v>93237</v>
      </c>
      <c r="E483" s="46">
        <v>106686</v>
      </c>
      <c r="F483">
        <v>28.91</v>
      </c>
      <c r="G483">
        <v>12.66</v>
      </c>
      <c r="H483" s="46">
        <v>1162164</v>
      </c>
      <c r="I483" s="46">
        <v>1236663</v>
      </c>
      <c r="J483">
        <v>-6.02</v>
      </c>
      <c r="K483">
        <v>1</v>
      </c>
    </row>
    <row r="484" spans="1:11" customFormat="1" hidden="1">
      <c r="A484">
        <v>3587</v>
      </c>
      <c r="B484" t="s">
        <v>2226</v>
      </c>
      <c r="C484" s="46">
        <v>103228</v>
      </c>
      <c r="D484" s="46">
        <v>90094</v>
      </c>
      <c r="E484" s="46">
        <v>90982</v>
      </c>
      <c r="F484">
        <v>14.57</v>
      </c>
      <c r="G484">
        <v>13.45</v>
      </c>
      <c r="H484" s="46">
        <v>983885</v>
      </c>
      <c r="I484" s="46">
        <v>968455</v>
      </c>
      <c r="J484">
        <v>1.59</v>
      </c>
      <c r="K484">
        <v>1</v>
      </c>
    </row>
    <row r="485" spans="1:11" customFormat="1" hidden="1">
      <c r="A485">
        <v>3581</v>
      </c>
      <c r="B485" t="s">
        <v>2125</v>
      </c>
      <c r="C485" s="46">
        <v>62850</v>
      </c>
      <c r="D485" s="46">
        <v>66520</v>
      </c>
      <c r="E485" s="46">
        <v>88293</v>
      </c>
      <c r="F485">
        <v>-5.51</v>
      </c>
      <c r="G485">
        <v>-28.81</v>
      </c>
      <c r="H485" s="46">
        <v>766946</v>
      </c>
      <c r="I485" s="46">
        <v>798960</v>
      </c>
      <c r="J485">
        <v>-4</v>
      </c>
      <c r="K485">
        <v>0</v>
      </c>
    </row>
    <row r="486" spans="1:11" customFormat="1" hidden="1">
      <c r="A486" s="288">
        <v>3580</v>
      </c>
      <c r="B486" s="288" t="s">
        <v>2225</v>
      </c>
      <c r="C486" s="46">
        <v>78418</v>
      </c>
      <c r="D486" s="46">
        <v>35794</v>
      </c>
      <c r="E486" s="46">
        <v>88852</v>
      </c>
      <c r="F486">
        <v>119.08</v>
      </c>
      <c r="G486">
        <v>-11.74</v>
      </c>
      <c r="H486" s="46">
        <v>462922</v>
      </c>
      <c r="I486" s="46">
        <v>498385</v>
      </c>
      <c r="J486">
        <v>-7.11</v>
      </c>
      <c r="K486">
        <v>1</v>
      </c>
    </row>
    <row r="487" spans="1:11" customFormat="1" hidden="1">
      <c r="A487">
        <v>3577</v>
      </c>
      <c r="B487" t="s">
        <v>2145</v>
      </c>
      <c r="C487" s="46">
        <v>63333</v>
      </c>
      <c r="D487" s="46">
        <v>68793</v>
      </c>
      <c r="E487" s="46">
        <v>55354</v>
      </c>
      <c r="F487">
        <v>-7.93</v>
      </c>
      <c r="G487">
        <v>14.41</v>
      </c>
      <c r="H487" s="46">
        <v>667754</v>
      </c>
      <c r="I487" s="46">
        <v>691271</v>
      </c>
      <c r="J487">
        <v>-3.4</v>
      </c>
      <c r="K487">
        <v>0</v>
      </c>
    </row>
    <row r="488" spans="1:11" customFormat="1" hidden="1">
      <c r="A488">
        <v>3570</v>
      </c>
      <c r="B488" t="s">
        <v>2363</v>
      </c>
      <c r="C488" s="46">
        <v>64890</v>
      </c>
      <c r="D488" s="46">
        <v>98230</v>
      </c>
      <c r="E488" s="46">
        <v>80012</v>
      </c>
      <c r="F488">
        <v>-33.94</v>
      </c>
      <c r="G488">
        <v>-18.89</v>
      </c>
      <c r="H488" s="46">
        <v>894169</v>
      </c>
      <c r="I488" s="46">
        <v>800373</v>
      </c>
      <c r="J488">
        <v>11.71</v>
      </c>
      <c r="K488">
        <v>0</v>
      </c>
    </row>
    <row r="489" spans="1:11" customFormat="1" hidden="1">
      <c r="A489" s="288">
        <v>3567</v>
      </c>
      <c r="B489" s="288" t="s">
        <v>2292</v>
      </c>
      <c r="C489" s="46">
        <v>28569</v>
      </c>
      <c r="D489" s="46">
        <v>28111</v>
      </c>
      <c r="E489" s="46">
        <v>27523</v>
      </c>
      <c r="F489">
        <v>1.62</v>
      </c>
      <c r="G489">
        <v>3.8</v>
      </c>
      <c r="H489" s="46">
        <v>304891</v>
      </c>
      <c r="I489" s="46">
        <v>352164</v>
      </c>
      <c r="J489">
        <v>-13.42</v>
      </c>
      <c r="K489">
        <v>0</v>
      </c>
    </row>
    <row r="490" spans="1:11" customFormat="1" hidden="1">
      <c r="A490">
        <v>3564</v>
      </c>
      <c r="B490" t="s">
        <v>1537</v>
      </c>
      <c r="C490" s="46">
        <v>106384</v>
      </c>
      <c r="D490" s="46">
        <v>109915</v>
      </c>
      <c r="E490" s="46">
        <v>113301</v>
      </c>
      <c r="F490">
        <v>-3.21</v>
      </c>
      <c r="G490">
        <v>-6.1</v>
      </c>
      <c r="H490" s="46">
        <v>1217392</v>
      </c>
      <c r="I490" s="46">
        <v>846396</v>
      </c>
      <c r="J490">
        <v>43.83</v>
      </c>
      <c r="K490">
        <v>0</v>
      </c>
    </row>
    <row r="491" spans="1:11" customFormat="1" hidden="1">
      <c r="A491">
        <v>3563</v>
      </c>
      <c r="B491" t="s">
        <v>347</v>
      </c>
      <c r="C491" s="46">
        <v>42522</v>
      </c>
      <c r="D491" s="46">
        <v>40163</v>
      </c>
      <c r="E491" s="46">
        <v>45546</v>
      </c>
      <c r="F491">
        <v>5.87</v>
      </c>
      <c r="G491">
        <v>-6.63</v>
      </c>
      <c r="H491" s="46">
        <v>568745</v>
      </c>
      <c r="I491" s="46">
        <v>614341</v>
      </c>
      <c r="J491">
        <v>-7.42</v>
      </c>
      <c r="K491">
        <v>0</v>
      </c>
    </row>
    <row r="492" spans="1:11" customFormat="1" hidden="1">
      <c r="A492">
        <v>3562</v>
      </c>
      <c r="B492" t="s">
        <v>346</v>
      </c>
      <c r="C492" s="46">
        <v>87140</v>
      </c>
      <c r="D492" s="46">
        <v>81334</v>
      </c>
      <c r="E492" s="46">
        <v>116124</v>
      </c>
      <c r="F492">
        <v>7.13</v>
      </c>
      <c r="G492">
        <v>-24.95</v>
      </c>
      <c r="H492" s="46">
        <v>903203</v>
      </c>
      <c r="I492" s="46">
        <v>1950720</v>
      </c>
      <c r="J492">
        <v>-53.69</v>
      </c>
      <c r="K492">
        <v>1</v>
      </c>
    </row>
    <row r="493" spans="1:11" customFormat="1" hidden="1">
      <c r="A493">
        <v>3558</v>
      </c>
      <c r="B493" t="s">
        <v>345</v>
      </c>
      <c r="C493" s="46">
        <v>611804</v>
      </c>
      <c r="D493" s="46">
        <v>631801</v>
      </c>
      <c r="E493" s="46">
        <v>562143</v>
      </c>
      <c r="F493">
        <v>-3.16</v>
      </c>
      <c r="G493">
        <v>8.83</v>
      </c>
      <c r="H493" s="46">
        <v>7050400</v>
      </c>
      <c r="I493" s="46">
        <v>5592644</v>
      </c>
      <c r="J493">
        <v>26.06</v>
      </c>
      <c r="K493">
        <v>0</v>
      </c>
    </row>
    <row r="494" spans="1:11" customFormat="1" hidden="1">
      <c r="A494">
        <v>3556</v>
      </c>
      <c r="B494" t="s">
        <v>344</v>
      </c>
      <c r="C494" s="46">
        <v>87618</v>
      </c>
      <c r="D494" s="46">
        <v>88356</v>
      </c>
      <c r="E494" s="46">
        <v>81458</v>
      </c>
      <c r="F494">
        <v>-0.83</v>
      </c>
      <c r="G494">
        <v>7.56</v>
      </c>
      <c r="H494" s="46">
        <v>910191</v>
      </c>
      <c r="I494" s="46">
        <v>938463</v>
      </c>
      <c r="J494">
        <v>-3.01</v>
      </c>
      <c r="K494">
        <v>1</v>
      </c>
    </row>
    <row r="495" spans="1:11" customFormat="1" hidden="1">
      <c r="A495">
        <v>3555</v>
      </c>
      <c r="B495" t="s">
        <v>2124</v>
      </c>
      <c r="C495" s="46">
        <v>21602</v>
      </c>
      <c r="D495" s="46">
        <v>21828</v>
      </c>
      <c r="E495" s="46">
        <v>17512</v>
      </c>
      <c r="F495">
        <v>-1.03</v>
      </c>
      <c r="G495">
        <v>23.35</v>
      </c>
      <c r="H495" s="46">
        <v>318838</v>
      </c>
      <c r="I495" s="46">
        <v>328686</v>
      </c>
      <c r="J495">
        <v>-2.99</v>
      </c>
      <c r="K495">
        <v>0</v>
      </c>
    </row>
    <row r="496" spans="1:11" customFormat="1" hidden="1">
      <c r="A496">
        <v>3553</v>
      </c>
      <c r="B496" t="s">
        <v>343</v>
      </c>
      <c r="C496" s="46">
        <v>184212</v>
      </c>
      <c r="D496" s="46">
        <v>203135</v>
      </c>
      <c r="E496" s="46">
        <v>213771</v>
      </c>
      <c r="F496">
        <v>-9.31</v>
      </c>
      <c r="G496">
        <v>-13.82</v>
      </c>
      <c r="H496" s="46">
        <v>2279736</v>
      </c>
      <c r="I496" s="46">
        <v>2354230</v>
      </c>
      <c r="J496">
        <v>-3.16</v>
      </c>
      <c r="K496">
        <v>0</v>
      </c>
    </row>
    <row r="497" spans="1:11" customFormat="1">
      <c r="A497" s="288" t="str">
        <f>HYPERLINK("http://tw.stock.yahoo.com/q/ta?s=6024","6024")</f>
        <v>6024</v>
      </c>
      <c r="B497" s="288" t="str">
        <f>HYPERLINK("http://tw.stock.yahoo.com/d/s/earning_6024.html","群益期")</f>
        <v>群益期</v>
      </c>
      <c r="C497" s="46">
        <v>140198</v>
      </c>
      <c r="D497" s="46">
        <v>129147</v>
      </c>
      <c r="E497" s="46">
        <v>76126</v>
      </c>
      <c r="F497">
        <v>8.5500000000000007</v>
      </c>
      <c r="G497">
        <v>84.16</v>
      </c>
      <c r="H497" s="46">
        <v>1418504</v>
      </c>
      <c r="I497" s="46">
        <v>1116665</v>
      </c>
      <c r="J497">
        <v>27.03</v>
      </c>
      <c r="K497">
        <v>1</v>
      </c>
    </row>
    <row r="498" spans="1:11" customFormat="1" hidden="1">
      <c r="A498">
        <v>3551</v>
      </c>
      <c r="B498" t="s">
        <v>342</v>
      </c>
      <c r="C498" s="46">
        <v>102260</v>
      </c>
      <c r="D498" s="46">
        <v>103024</v>
      </c>
      <c r="E498" s="46">
        <v>129555</v>
      </c>
      <c r="F498">
        <v>-0.74</v>
      </c>
      <c r="G498">
        <v>-21.06</v>
      </c>
      <c r="H498" s="46">
        <v>1249784</v>
      </c>
      <c r="I498" s="46">
        <v>1411478</v>
      </c>
      <c r="J498">
        <v>-11.45</v>
      </c>
      <c r="K498">
        <v>0</v>
      </c>
    </row>
    <row r="499" spans="1:11" customFormat="1" hidden="1">
      <c r="A499">
        <v>3548</v>
      </c>
      <c r="B499" t="s">
        <v>341</v>
      </c>
      <c r="C499" s="46">
        <v>363434</v>
      </c>
      <c r="D499" s="46">
        <v>417577</v>
      </c>
      <c r="E499" s="46">
        <v>332932</v>
      </c>
      <c r="F499">
        <v>-12.96</v>
      </c>
      <c r="G499">
        <v>9.16</v>
      </c>
      <c r="H499" s="46">
        <v>3441253</v>
      </c>
      <c r="I499" s="46">
        <v>3437224</v>
      </c>
      <c r="J499">
        <v>0.11</v>
      </c>
      <c r="K499">
        <v>1</v>
      </c>
    </row>
    <row r="500" spans="1:11" customFormat="1" hidden="1">
      <c r="A500">
        <v>3546</v>
      </c>
      <c r="B500" t="s">
        <v>2260</v>
      </c>
      <c r="C500" s="46">
        <v>59433</v>
      </c>
      <c r="D500" s="46">
        <v>61465</v>
      </c>
      <c r="E500" s="46">
        <v>70897</v>
      </c>
      <c r="F500">
        <v>-3.3</v>
      </c>
      <c r="G500">
        <v>-16.16</v>
      </c>
      <c r="H500" s="46">
        <v>580588</v>
      </c>
      <c r="I500" s="46">
        <v>674480</v>
      </c>
      <c r="J500">
        <v>-13.92</v>
      </c>
      <c r="K500">
        <v>1</v>
      </c>
    </row>
    <row r="501" spans="1:11" customFormat="1" hidden="1">
      <c r="A501">
        <v>3541</v>
      </c>
      <c r="B501" t="s">
        <v>2224</v>
      </c>
      <c r="C501" s="46">
        <v>126115</v>
      </c>
      <c r="D501" s="46">
        <v>128283</v>
      </c>
      <c r="E501" s="46">
        <v>132218</v>
      </c>
      <c r="F501">
        <v>-1.69</v>
      </c>
      <c r="G501">
        <v>-4.6100000000000003</v>
      </c>
      <c r="H501" s="46">
        <v>1258875</v>
      </c>
      <c r="I501" s="46">
        <v>1474269</v>
      </c>
      <c r="J501">
        <v>-14.61</v>
      </c>
      <c r="K501">
        <v>1</v>
      </c>
    </row>
    <row r="502" spans="1:11" customFormat="1" hidden="1">
      <c r="A502" s="288">
        <v>3540</v>
      </c>
      <c r="B502" s="288" t="s">
        <v>2144</v>
      </c>
      <c r="C502" s="46">
        <v>241805</v>
      </c>
      <c r="D502" s="46">
        <v>248997</v>
      </c>
      <c r="E502" s="46">
        <v>203525</v>
      </c>
      <c r="F502">
        <v>-2.88</v>
      </c>
      <c r="G502">
        <v>18.8</v>
      </c>
      <c r="H502" s="46">
        <v>2451201</v>
      </c>
      <c r="I502" s="46">
        <v>2808388</v>
      </c>
      <c r="J502">
        <v>-12.71</v>
      </c>
      <c r="K502">
        <v>1</v>
      </c>
    </row>
    <row r="503" spans="1:11" customFormat="1" hidden="1">
      <c r="A503">
        <v>3537</v>
      </c>
      <c r="B503" t="s">
        <v>340</v>
      </c>
      <c r="C503" s="46">
        <v>199449</v>
      </c>
      <c r="D503" s="46">
        <v>182176</v>
      </c>
      <c r="E503" s="46">
        <v>164743</v>
      </c>
      <c r="F503">
        <v>9.48</v>
      </c>
      <c r="G503">
        <v>21.06</v>
      </c>
      <c r="H503" s="46">
        <v>1830824</v>
      </c>
      <c r="I503" s="46">
        <v>2087947</v>
      </c>
      <c r="J503">
        <v>-12.31</v>
      </c>
      <c r="K503">
        <v>1</v>
      </c>
    </row>
    <row r="504" spans="1:11" customFormat="1" hidden="1">
      <c r="A504">
        <v>3531</v>
      </c>
      <c r="B504" t="s">
        <v>2153</v>
      </c>
      <c r="C504" s="46">
        <v>144456</v>
      </c>
      <c r="D504" s="46">
        <v>143329</v>
      </c>
      <c r="E504" s="46">
        <v>163611</v>
      </c>
      <c r="F504">
        <v>0.78</v>
      </c>
      <c r="G504">
        <v>-11.7</v>
      </c>
      <c r="H504" s="46">
        <v>1616976</v>
      </c>
      <c r="I504" s="46">
        <v>1825104</v>
      </c>
      <c r="J504">
        <v>-11.4</v>
      </c>
      <c r="K504">
        <v>0</v>
      </c>
    </row>
    <row r="505" spans="1:11" customFormat="1" hidden="1">
      <c r="A505">
        <v>3529</v>
      </c>
      <c r="B505" t="s">
        <v>339</v>
      </c>
      <c r="C505" s="46">
        <v>49992</v>
      </c>
      <c r="D505" s="46">
        <v>225341</v>
      </c>
      <c r="E505" s="46">
        <v>43652</v>
      </c>
      <c r="F505">
        <v>-77.81</v>
      </c>
      <c r="G505">
        <v>14.52</v>
      </c>
      <c r="H505" s="46">
        <v>1066075</v>
      </c>
      <c r="I505" s="46">
        <v>986800</v>
      </c>
      <c r="J505">
        <v>8.0299999999999994</v>
      </c>
      <c r="K505">
        <v>0</v>
      </c>
    </row>
    <row r="506" spans="1:11" customFormat="1" hidden="1">
      <c r="A506">
        <v>3528</v>
      </c>
      <c r="B506" t="s">
        <v>2360</v>
      </c>
      <c r="C506" s="46">
        <v>263895</v>
      </c>
      <c r="D506" s="46">
        <v>274785</v>
      </c>
      <c r="E506" s="46">
        <v>245688</v>
      </c>
      <c r="F506">
        <v>-3.96</v>
      </c>
      <c r="G506">
        <v>7.41</v>
      </c>
      <c r="H506" s="46">
        <v>3050290</v>
      </c>
      <c r="I506" s="46">
        <v>2963924</v>
      </c>
      <c r="J506">
        <v>2.91</v>
      </c>
      <c r="K506">
        <v>0</v>
      </c>
    </row>
    <row r="507" spans="1:11" customFormat="1" hidden="1">
      <c r="A507">
        <v>3527</v>
      </c>
      <c r="B507" t="s">
        <v>338</v>
      </c>
      <c r="C507" s="46">
        <v>181727</v>
      </c>
      <c r="D507" s="46">
        <v>156696</v>
      </c>
      <c r="E507" s="46">
        <v>187346</v>
      </c>
      <c r="F507">
        <v>15.97</v>
      </c>
      <c r="G507">
        <v>-2.99</v>
      </c>
      <c r="H507" s="46">
        <v>1845409</v>
      </c>
      <c r="I507" s="46">
        <v>1924520</v>
      </c>
      <c r="J507">
        <v>-4.1100000000000003</v>
      </c>
      <c r="K507">
        <v>1</v>
      </c>
    </row>
    <row r="508" spans="1:11" customFormat="1" hidden="1">
      <c r="A508" s="288">
        <v>3526</v>
      </c>
      <c r="B508" s="288" t="s">
        <v>2185</v>
      </c>
      <c r="C508" s="46">
        <v>163614</v>
      </c>
      <c r="D508" s="46">
        <v>147623</v>
      </c>
      <c r="E508" s="46">
        <v>153669</v>
      </c>
      <c r="F508">
        <v>10.83</v>
      </c>
      <c r="G508">
        <v>6.47</v>
      </c>
      <c r="H508" s="46">
        <v>1549641</v>
      </c>
      <c r="I508" s="46">
        <v>1556910</v>
      </c>
      <c r="J508">
        <v>-0.46</v>
      </c>
      <c r="K508">
        <v>1</v>
      </c>
    </row>
    <row r="509" spans="1:11" customFormat="1" hidden="1">
      <c r="A509" s="288">
        <v>3523</v>
      </c>
      <c r="B509" s="288" t="s">
        <v>2319</v>
      </c>
      <c r="C509" s="46">
        <v>56834</v>
      </c>
      <c r="D509" s="46">
        <v>73191</v>
      </c>
      <c r="E509" s="46">
        <v>103571</v>
      </c>
      <c r="F509">
        <v>-22.34</v>
      </c>
      <c r="G509">
        <v>-45.12</v>
      </c>
      <c r="H509" s="46">
        <v>855377</v>
      </c>
      <c r="I509" s="46">
        <v>1378003</v>
      </c>
      <c r="J509">
        <v>-37.92</v>
      </c>
      <c r="K509">
        <v>0</v>
      </c>
    </row>
    <row r="510" spans="1:11" customFormat="1" hidden="1">
      <c r="A510">
        <v>3522</v>
      </c>
      <c r="B510" t="s">
        <v>337</v>
      </c>
      <c r="C510" s="46">
        <v>93142</v>
      </c>
      <c r="D510" s="46">
        <v>110721</v>
      </c>
      <c r="E510" s="46">
        <v>150471</v>
      </c>
      <c r="F510">
        <v>-15.87</v>
      </c>
      <c r="G510">
        <v>-38.090000000000003</v>
      </c>
      <c r="H510" s="46">
        <v>1411205</v>
      </c>
      <c r="I510" s="46">
        <v>2068105</v>
      </c>
      <c r="J510">
        <v>-31.76</v>
      </c>
      <c r="K510">
        <v>0</v>
      </c>
    </row>
    <row r="511" spans="1:11" customFormat="1" hidden="1">
      <c r="A511" s="288">
        <v>3521</v>
      </c>
      <c r="B511" s="288" t="s">
        <v>1527</v>
      </c>
      <c r="C511" s="46">
        <v>45064</v>
      </c>
      <c r="D511" s="46">
        <v>97066</v>
      </c>
      <c r="E511" s="46">
        <v>22406</v>
      </c>
      <c r="F511">
        <v>-53.57</v>
      </c>
      <c r="G511">
        <v>101.12</v>
      </c>
      <c r="H511" s="46">
        <v>528968</v>
      </c>
      <c r="I511" s="46">
        <v>361003</v>
      </c>
      <c r="J511">
        <v>46.52</v>
      </c>
      <c r="K511">
        <v>0</v>
      </c>
    </row>
    <row r="512" spans="1:11" customFormat="1" hidden="1">
      <c r="A512">
        <v>3520</v>
      </c>
      <c r="B512" t="s">
        <v>2184</v>
      </c>
      <c r="C512" s="46">
        <v>45147</v>
      </c>
      <c r="D512" s="46">
        <v>46959</v>
      </c>
      <c r="E512" s="46">
        <v>74793</v>
      </c>
      <c r="F512">
        <v>-3.85</v>
      </c>
      <c r="G512">
        <v>-39.630000000000003</v>
      </c>
      <c r="H512" s="46">
        <v>487061</v>
      </c>
      <c r="I512" s="46">
        <v>793913</v>
      </c>
      <c r="J512">
        <v>-38.65</v>
      </c>
      <c r="K512">
        <v>0</v>
      </c>
    </row>
    <row r="513" spans="1:11" customFormat="1" hidden="1">
      <c r="A513">
        <v>3516</v>
      </c>
      <c r="B513" t="s">
        <v>336</v>
      </c>
      <c r="C513" s="46">
        <v>54955</v>
      </c>
      <c r="D513" s="46">
        <v>64399</v>
      </c>
      <c r="E513" s="46">
        <v>59139</v>
      </c>
      <c r="F513">
        <v>-14.66</v>
      </c>
      <c r="G513">
        <v>-7.07</v>
      </c>
      <c r="H513" s="46">
        <v>663035</v>
      </c>
      <c r="I513" s="46">
        <v>704571</v>
      </c>
      <c r="J513">
        <v>-5.89</v>
      </c>
      <c r="K513">
        <v>0</v>
      </c>
    </row>
    <row r="514" spans="1:11" customFormat="1" hidden="1">
      <c r="A514">
        <v>3512</v>
      </c>
      <c r="B514" t="s">
        <v>1525</v>
      </c>
      <c r="C514" s="46">
        <v>59995</v>
      </c>
      <c r="D514" s="46">
        <v>105248</v>
      </c>
      <c r="E514" s="46">
        <v>57773</v>
      </c>
      <c r="F514">
        <v>-42.99</v>
      </c>
      <c r="G514">
        <v>3.84</v>
      </c>
      <c r="H514" s="46">
        <v>739646</v>
      </c>
      <c r="I514" s="46">
        <v>555829</v>
      </c>
      <c r="J514">
        <v>33.07</v>
      </c>
      <c r="K514">
        <v>0</v>
      </c>
    </row>
    <row r="515" spans="1:11" customFormat="1" hidden="1">
      <c r="A515" s="288">
        <v>3511</v>
      </c>
      <c r="B515" s="288" t="s">
        <v>2183</v>
      </c>
      <c r="C515" s="46">
        <v>65466</v>
      </c>
      <c r="D515" s="46">
        <v>90452</v>
      </c>
      <c r="E515" s="46">
        <v>91279</v>
      </c>
      <c r="F515">
        <v>-27.62</v>
      </c>
      <c r="G515">
        <v>-28.27</v>
      </c>
      <c r="H515" s="46">
        <v>1063516</v>
      </c>
      <c r="I515" s="46">
        <v>722897</v>
      </c>
      <c r="J515">
        <v>47.11</v>
      </c>
      <c r="K515">
        <v>0</v>
      </c>
    </row>
    <row r="516" spans="1:11" customFormat="1" hidden="1">
      <c r="A516">
        <v>3508</v>
      </c>
      <c r="B516" t="s">
        <v>335</v>
      </c>
      <c r="C516" s="46">
        <v>300236</v>
      </c>
      <c r="D516" s="46">
        <v>210622</v>
      </c>
      <c r="E516" s="46">
        <v>259648</v>
      </c>
      <c r="F516">
        <v>42.54</v>
      </c>
      <c r="G516">
        <v>15.63</v>
      </c>
      <c r="H516" s="46">
        <v>3002519</v>
      </c>
      <c r="I516" s="46">
        <v>3218136</v>
      </c>
      <c r="J516">
        <v>-6.7</v>
      </c>
      <c r="K516">
        <v>1</v>
      </c>
    </row>
    <row r="517" spans="1:11" customFormat="1" hidden="1">
      <c r="A517">
        <v>3499</v>
      </c>
      <c r="B517" t="s">
        <v>334</v>
      </c>
      <c r="C517" s="46">
        <v>54879</v>
      </c>
      <c r="D517" s="46">
        <v>67668</v>
      </c>
      <c r="E517" s="46">
        <v>43006</v>
      </c>
      <c r="F517">
        <v>-18.89</v>
      </c>
      <c r="G517">
        <v>27.6</v>
      </c>
      <c r="H517" s="46">
        <v>597045</v>
      </c>
      <c r="I517" s="46">
        <v>406087</v>
      </c>
      <c r="J517">
        <v>47.02</v>
      </c>
      <c r="K517">
        <v>0</v>
      </c>
    </row>
    <row r="518" spans="1:11" customFormat="1" hidden="1">
      <c r="A518">
        <v>3498</v>
      </c>
      <c r="B518" t="s">
        <v>2378</v>
      </c>
      <c r="C518" s="46">
        <v>279457</v>
      </c>
      <c r="D518" s="46">
        <v>326548</v>
      </c>
      <c r="E518" s="46">
        <v>282788</v>
      </c>
      <c r="F518">
        <v>-14.42</v>
      </c>
      <c r="G518">
        <v>-1.17</v>
      </c>
      <c r="H518" s="46">
        <v>2843050</v>
      </c>
      <c r="I518" s="46">
        <v>2209916</v>
      </c>
      <c r="J518">
        <v>28.64</v>
      </c>
      <c r="K518">
        <v>1</v>
      </c>
    </row>
    <row r="519" spans="1:11" customFormat="1" hidden="1">
      <c r="A519">
        <v>3492</v>
      </c>
      <c r="B519" t="s">
        <v>2341</v>
      </c>
      <c r="C519" s="46">
        <v>82343</v>
      </c>
      <c r="D519" s="46">
        <v>121362</v>
      </c>
      <c r="E519" s="46">
        <v>72136</v>
      </c>
      <c r="F519">
        <v>-32.15</v>
      </c>
      <c r="G519">
        <v>14.14</v>
      </c>
      <c r="H519" s="46">
        <v>1033338</v>
      </c>
      <c r="I519" s="46">
        <v>899196</v>
      </c>
      <c r="J519">
        <v>14.91</v>
      </c>
      <c r="K519">
        <v>0</v>
      </c>
    </row>
    <row r="520" spans="1:11" customFormat="1" hidden="1">
      <c r="A520">
        <v>3491</v>
      </c>
      <c r="B520" t="s">
        <v>2166</v>
      </c>
      <c r="C520" s="46">
        <v>120076</v>
      </c>
      <c r="D520" s="46">
        <v>130086</v>
      </c>
      <c r="E520" s="46">
        <v>104870</v>
      </c>
      <c r="F520">
        <v>-7.69</v>
      </c>
      <c r="G520">
        <v>14.49</v>
      </c>
      <c r="H520" s="46">
        <v>1303863</v>
      </c>
      <c r="I520" s="46">
        <v>1153659</v>
      </c>
      <c r="J520">
        <v>13.01</v>
      </c>
      <c r="K520">
        <v>0</v>
      </c>
    </row>
    <row r="521" spans="1:11" customFormat="1" hidden="1">
      <c r="A521">
        <v>3490</v>
      </c>
      <c r="B521" t="s">
        <v>333</v>
      </c>
      <c r="C521" s="46">
        <v>155184</v>
      </c>
      <c r="D521" s="46">
        <v>163722</v>
      </c>
      <c r="E521" s="46">
        <v>292025</v>
      </c>
      <c r="F521">
        <v>-5.21</v>
      </c>
      <c r="G521">
        <v>-46.85</v>
      </c>
      <c r="H521" s="46">
        <v>2181555</v>
      </c>
      <c r="I521" s="46">
        <v>1758372</v>
      </c>
      <c r="J521">
        <v>24.06</v>
      </c>
      <c r="K521">
        <v>0</v>
      </c>
    </row>
    <row r="522" spans="1:11" customFormat="1" hidden="1">
      <c r="A522" s="288">
        <v>3489</v>
      </c>
      <c r="B522" s="288" t="s">
        <v>332</v>
      </c>
      <c r="C522" s="46">
        <v>94074</v>
      </c>
      <c r="D522" s="46">
        <v>92575</v>
      </c>
      <c r="E522" s="46">
        <v>45985</v>
      </c>
      <c r="F522">
        <v>1.61</v>
      </c>
      <c r="G522">
        <v>104.57</v>
      </c>
      <c r="H522" s="46">
        <v>713262</v>
      </c>
      <c r="I522" s="46">
        <v>674312</v>
      </c>
      <c r="J522">
        <v>5.77</v>
      </c>
      <c r="K522">
        <v>1</v>
      </c>
    </row>
    <row r="523" spans="1:11" customFormat="1" hidden="1">
      <c r="A523">
        <v>3484</v>
      </c>
      <c r="B523" t="s">
        <v>331</v>
      </c>
      <c r="C523" s="46">
        <v>270852</v>
      </c>
      <c r="D523" s="46">
        <v>279745</v>
      </c>
      <c r="E523" s="46">
        <v>272775</v>
      </c>
      <c r="F523">
        <v>-3.17</v>
      </c>
      <c r="G523">
        <v>-0.7</v>
      </c>
      <c r="H523" s="46">
        <v>2975422</v>
      </c>
      <c r="I523" s="46">
        <v>2900168</v>
      </c>
      <c r="J523">
        <v>2.59</v>
      </c>
      <c r="K523">
        <v>0</v>
      </c>
    </row>
    <row r="524" spans="1:11" customFormat="1" hidden="1">
      <c r="A524">
        <v>3483</v>
      </c>
      <c r="B524" t="s">
        <v>330</v>
      </c>
      <c r="C524" s="46">
        <v>295225</v>
      </c>
      <c r="D524" s="46">
        <v>276116</v>
      </c>
      <c r="E524" s="46">
        <v>281035</v>
      </c>
      <c r="F524">
        <v>6.92</v>
      </c>
      <c r="G524">
        <v>5.04</v>
      </c>
      <c r="H524" s="46">
        <v>2453668</v>
      </c>
      <c r="I524" s="46">
        <v>2738848</v>
      </c>
      <c r="J524">
        <v>-10.41</v>
      </c>
      <c r="K524">
        <v>1</v>
      </c>
    </row>
    <row r="525" spans="1:11" customFormat="1" hidden="1">
      <c r="A525">
        <v>3479</v>
      </c>
      <c r="B525" t="s">
        <v>2303</v>
      </c>
      <c r="C525" s="46">
        <v>403901</v>
      </c>
      <c r="D525" s="46">
        <v>430053</v>
      </c>
      <c r="E525" s="46">
        <v>278618</v>
      </c>
      <c r="F525">
        <v>-6.08</v>
      </c>
      <c r="G525">
        <v>44.96</v>
      </c>
      <c r="H525" s="46">
        <v>3923461</v>
      </c>
      <c r="I525" s="46">
        <v>3304260</v>
      </c>
      <c r="J525">
        <v>18.73</v>
      </c>
      <c r="K525">
        <v>1</v>
      </c>
    </row>
    <row r="526" spans="1:11" customFormat="1" hidden="1">
      <c r="A526">
        <v>3466</v>
      </c>
      <c r="B526" t="s">
        <v>329</v>
      </c>
      <c r="C526" s="46">
        <v>86154</v>
      </c>
      <c r="D526" s="46">
        <v>80996</v>
      </c>
      <c r="E526" s="46">
        <v>147546</v>
      </c>
      <c r="F526">
        <v>6.36</v>
      </c>
      <c r="G526">
        <v>-41.6</v>
      </c>
      <c r="H526" s="46">
        <v>1389015</v>
      </c>
      <c r="I526" s="46">
        <v>2067473</v>
      </c>
      <c r="J526">
        <v>-32.81</v>
      </c>
      <c r="K526">
        <v>0</v>
      </c>
    </row>
    <row r="527" spans="1:11" customFormat="1" hidden="1">
      <c r="A527">
        <v>3465</v>
      </c>
      <c r="B527" t="s">
        <v>2182</v>
      </c>
      <c r="C527" s="46">
        <v>12004</v>
      </c>
      <c r="D527" s="46">
        <v>18588</v>
      </c>
      <c r="E527" s="46">
        <v>36749</v>
      </c>
      <c r="F527">
        <v>-35.42</v>
      </c>
      <c r="G527">
        <v>-67.33</v>
      </c>
      <c r="H527" s="46">
        <v>166090</v>
      </c>
      <c r="I527" s="46">
        <v>404840</v>
      </c>
      <c r="J527">
        <v>-58.97</v>
      </c>
      <c r="K527">
        <v>0</v>
      </c>
    </row>
    <row r="528" spans="1:11" customFormat="1" hidden="1">
      <c r="A528">
        <v>3455</v>
      </c>
      <c r="B528" t="s">
        <v>328</v>
      </c>
      <c r="C528" s="46">
        <v>151642</v>
      </c>
      <c r="D528" s="46">
        <v>115753</v>
      </c>
      <c r="E528" s="46">
        <v>195941</v>
      </c>
      <c r="F528">
        <v>31</v>
      </c>
      <c r="G528">
        <v>-22.6</v>
      </c>
      <c r="H528" s="46">
        <v>1099016</v>
      </c>
      <c r="I528" s="46">
        <v>1326282</v>
      </c>
      <c r="J528">
        <v>-17.13</v>
      </c>
      <c r="K528">
        <v>1</v>
      </c>
    </row>
    <row r="529" spans="1:11" customFormat="1" hidden="1">
      <c r="A529">
        <v>3452</v>
      </c>
      <c r="B529" t="s">
        <v>2152</v>
      </c>
      <c r="C529" s="46">
        <v>465410</v>
      </c>
      <c r="D529" s="46">
        <v>422166</v>
      </c>
      <c r="E529" s="46">
        <v>306219</v>
      </c>
      <c r="F529">
        <v>10.24</v>
      </c>
      <c r="G529">
        <v>51.98</v>
      </c>
      <c r="H529" s="46">
        <v>3954301</v>
      </c>
      <c r="I529" s="46">
        <v>4101271</v>
      </c>
      <c r="J529">
        <v>-3.58</v>
      </c>
      <c r="K529">
        <v>1</v>
      </c>
    </row>
    <row r="530" spans="1:11" customFormat="1" hidden="1">
      <c r="A530" s="288">
        <v>3444</v>
      </c>
      <c r="B530" s="288" t="s">
        <v>2215</v>
      </c>
      <c r="C530" s="46">
        <v>86010</v>
      </c>
      <c r="D530" s="46">
        <v>77857</v>
      </c>
      <c r="E530" s="46">
        <v>85311</v>
      </c>
      <c r="F530">
        <v>10.47</v>
      </c>
      <c r="G530">
        <v>0.81</v>
      </c>
      <c r="H530" s="46">
        <v>907512</v>
      </c>
      <c r="I530" s="46">
        <v>1005097</v>
      </c>
      <c r="J530">
        <v>-9.6999999999999993</v>
      </c>
      <c r="K530">
        <v>0</v>
      </c>
    </row>
    <row r="531" spans="1:11" customFormat="1" hidden="1">
      <c r="A531" s="288">
        <v>3441</v>
      </c>
      <c r="B531" s="288" t="s">
        <v>2318</v>
      </c>
      <c r="C531" s="46">
        <v>34279</v>
      </c>
      <c r="D531" s="46">
        <v>43931</v>
      </c>
      <c r="E531" s="46">
        <v>79619</v>
      </c>
      <c r="F531">
        <v>-21.97</v>
      </c>
      <c r="G531">
        <v>-56.94</v>
      </c>
      <c r="H531" s="46">
        <v>614285</v>
      </c>
      <c r="I531" s="46">
        <v>732314</v>
      </c>
      <c r="J531">
        <v>-16.11</v>
      </c>
      <c r="K531">
        <v>0</v>
      </c>
    </row>
    <row r="532" spans="1:11" customFormat="1" hidden="1">
      <c r="A532">
        <v>3438</v>
      </c>
      <c r="B532" t="s">
        <v>2123</v>
      </c>
      <c r="C532" s="46">
        <v>54585</v>
      </c>
      <c r="D532" s="46">
        <v>75508</v>
      </c>
      <c r="E532" s="46">
        <v>85713</v>
      </c>
      <c r="F532">
        <v>-27.7</v>
      </c>
      <c r="G532">
        <v>-36.31</v>
      </c>
      <c r="H532" s="46">
        <v>797057</v>
      </c>
      <c r="I532" s="46">
        <v>970253</v>
      </c>
      <c r="J532">
        <v>-17.850000000000001</v>
      </c>
      <c r="K532">
        <v>0</v>
      </c>
    </row>
    <row r="533" spans="1:11" customFormat="1" hidden="1">
      <c r="A533">
        <v>3434</v>
      </c>
      <c r="B533" t="s">
        <v>327</v>
      </c>
      <c r="C533" s="46">
        <v>71682</v>
      </c>
      <c r="D533" s="46">
        <v>58460</v>
      </c>
      <c r="E533" s="46">
        <v>50414</v>
      </c>
      <c r="F533">
        <v>22.61</v>
      </c>
      <c r="G533">
        <v>42.18</v>
      </c>
      <c r="H533" s="46">
        <v>639626</v>
      </c>
      <c r="I533" s="46">
        <v>625766</v>
      </c>
      <c r="J533">
        <v>2.21</v>
      </c>
      <c r="K533">
        <v>1</v>
      </c>
    </row>
    <row r="534" spans="1:11" customFormat="1" hidden="1">
      <c r="A534">
        <v>3431</v>
      </c>
      <c r="B534" t="s">
        <v>2329</v>
      </c>
      <c r="C534" s="46">
        <v>25257</v>
      </c>
      <c r="D534" s="46">
        <v>25750</v>
      </c>
      <c r="E534" s="46">
        <v>57022</v>
      </c>
      <c r="F534">
        <v>-1.91</v>
      </c>
      <c r="G534">
        <v>-55.7</v>
      </c>
      <c r="H534" s="46">
        <v>465207</v>
      </c>
      <c r="I534" s="46">
        <v>771191</v>
      </c>
      <c r="J534">
        <v>-39.67</v>
      </c>
      <c r="K534">
        <v>0</v>
      </c>
    </row>
    <row r="535" spans="1:11" customFormat="1" hidden="1">
      <c r="A535">
        <v>3428</v>
      </c>
      <c r="B535" t="s">
        <v>326</v>
      </c>
      <c r="C535" s="46">
        <v>145790</v>
      </c>
      <c r="D535" s="46">
        <v>160890</v>
      </c>
      <c r="E535" s="46">
        <v>118036</v>
      </c>
      <c r="F535">
        <v>-9.3800000000000008</v>
      </c>
      <c r="G535" s="289">
        <v>23.51</v>
      </c>
      <c r="H535" s="46">
        <v>1682120</v>
      </c>
      <c r="I535" s="46">
        <v>1283167</v>
      </c>
      <c r="J535">
        <v>31.09</v>
      </c>
      <c r="K535">
        <v>0</v>
      </c>
    </row>
    <row r="536" spans="1:11" customFormat="1" hidden="1">
      <c r="A536">
        <v>3402</v>
      </c>
      <c r="B536" t="s">
        <v>2377</v>
      </c>
      <c r="C536" s="46">
        <v>220186</v>
      </c>
      <c r="D536" s="46">
        <v>214048</v>
      </c>
      <c r="E536" s="46">
        <v>211676</v>
      </c>
      <c r="F536">
        <v>2.86</v>
      </c>
      <c r="G536">
        <v>4.0199999999999996</v>
      </c>
      <c r="H536" s="46">
        <v>2224040</v>
      </c>
      <c r="I536" s="46">
        <v>1669710</v>
      </c>
      <c r="J536">
        <v>33.19</v>
      </c>
      <c r="K536">
        <v>1</v>
      </c>
    </row>
    <row r="537" spans="1:11" customFormat="1" hidden="1">
      <c r="A537">
        <v>3390</v>
      </c>
      <c r="B537" t="s">
        <v>1512</v>
      </c>
      <c r="C537" s="46">
        <v>52140</v>
      </c>
      <c r="D537" s="46">
        <v>61098</v>
      </c>
      <c r="E537" s="46">
        <v>75364</v>
      </c>
      <c r="F537">
        <v>-14.66</v>
      </c>
      <c r="G537">
        <v>-30.81</v>
      </c>
      <c r="H537" s="46">
        <v>723485</v>
      </c>
      <c r="I537" s="46">
        <v>1203556</v>
      </c>
      <c r="J537">
        <v>-39.880000000000003</v>
      </c>
      <c r="K537">
        <v>0</v>
      </c>
    </row>
    <row r="538" spans="1:11" customFormat="1" hidden="1">
      <c r="A538" s="288">
        <v>3388</v>
      </c>
      <c r="B538" s="288" t="s">
        <v>325</v>
      </c>
      <c r="C538" s="46">
        <v>606895</v>
      </c>
      <c r="D538" s="46">
        <v>590632</v>
      </c>
      <c r="E538" s="46">
        <v>592361</v>
      </c>
      <c r="F538">
        <v>2.75</v>
      </c>
      <c r="G538" s="289">
        <v>2.4500000000000002</v>
      </c>
      <c r="H538" s="46">
        <v>6499777</v>
      </c>
      <c r="I538" s="46">
        <v>6865890</v>
      </c>
      <c r="J538" s="289">
        <v>-5.33</v>
      </c>
      <c r="K538">
        <v>0</v>
      </c>
    </row>
    <row r="539" spans="1:11" customFormat="1">
      <c r="A539" s="288" t="str">
        <f>HYPERLINK("http://tw.stock.yahoo.com/q/ta?s=4109","4109")</f>
        <v>4109</v>
      </c>
      <c r="B539" s="288" t="str">
        <f>HYPERLINK("http://tw.stock.yahoo.com/d/s/earning_4109.html","穆拉德")</f>
        <v>穆拉德</v>
      </c>
      <c r="C539" s="46">
        <v>87080</v>
      </c>
      <c r="D539" s="46">
        <v>57390</v>
      </c>
      <c r="E539" s="46">
        <v>45353</v>
      </c>
      <c r="F539">
        <v>51.73</v>
      </c>
      <c r="G539">
        <v>92</v>
      </c>
      <c r="H539" s="46">
        <v>693202</v>
      </c>
      <c r="I539" s="46">
        <v>551585</v>
      </c>
      <c r="J539">
        <v>25.67</v>
      </c>
      <c r="K539">
        <v>1</v>
      </c>
    </row>
    <row r="540" spans="1:11" customFormat="1" hidden="1">
      <c r="A540" s="288">
        <v>3374</v>
      </c>
      <c r="B540" s="288" t="s">
        <v>324</v>
      </c>
      <c r="C540" s="46">
        <v>355209</v>
      </c>
      <c r="D540" s="46">
        <v>358576</v>
      </c>
      <c r="E540" s="46">
        <v>434219</v>
      </c>
      <c r="F540">
        <v>-0.93</v>
      </c>
      <c r="G540">
        <v>-18.190000000000001</v>
      </c>
      <c r="H540" s="46">
        <v>4565839</v>
      </c>
      <c r="I540" s="46">
        <v>4366336</v>
      </c>
      <c r="J540">
        <v>4.5599999999999996</v>
      </c>
      <c r="K540">
        <v>0</v>
      </c>
    </row>
    <row r="541" spans="1:11" customFormat="1" hidden="1">
      <c r="A541">
        <v>3373</v>
      </c>
      <c r="B541" t="s">
        <v>323</v>
      </c>
      <c r="C541" s="46">
        <v>85371</v>
      </c>
      <c r="D541" s="46">
        <v>84582</v>
      </c>
      <c r="E541" s="46">
        <v>65215</v>
      </c>
      <c r="F541">
        <v>0.93</v>
      </c>
      <c r="G541">
        <v>30.9</v>
      </c>
      <c r="H541" s="46">
        <v>834290</v>
      </c>
      <c r="I541" s="46">
        <v>673029</v>
      </c>
      <c r="J541">
        <v>23.96</v>
      </c>
      <c r="K541">
        <v>1</v>
      </c>
    </row>
    <row r="542" spans="1:11" customFormat="1" hidden="1">
      <c r="A542" s="288">
        <v>3372</v>
      </c>
      <c r="B542" s="288" t="s">
        <v>322</v>
      </c>
      <c r="C542" s="46">
        <v>149175</v>
      </c>
      <c r="D542" s="46">
        <v>121657</v>
      </c>
      <c r="E542" s="46">
        <v>181626</v>
      </c>
      <c r="F542">
        <v>22.61</v>
      </c>
      <c r="G542">
        <v>-17.86</v>
      </c>
      <c r="H542" s="46">
        <v>1679169</v>
      </c>
      <c r="I542" s="46">
        <v>2037128</v>
      </c>
      <c r="J542">
        <v>-17.57</v>
      </c>
      <c r="K542">
        <v>0</v>
      </c>
    </row>
    <row r="543" spans="1:11" customFormat="1" hidden="1">
      <c r="A543">
        <v>3363</v>
      </c>
      <c r="B543" t="s">
        <v>321</v>
      </c>
      <c r="C543" s="46">
        <v>103528</v>
      </c>
      <c r="D543" s="46">
        <v>66965</v>
      </c>
      <c r="E543" s="46">
        <v>67743</v>
      </c>
      <c r="F543">
        <v>54.6</v>
      </c>
      <c r="G543">
        <v>52.82</v>
      </c>
      <c r="H543" s="46">
        <v>875538</v>
      </c>
      <c r="I543" s="46">
        <v>847189</v>
      </c>
      <c r="J543">
        <v>3.34</v>
      </c>
      <c r="K543">
        <v>1</v>
      </c>
    </row>
    <row r="544" spans="1:11" customFormat="1" hidden="1">
      <c r="A544" s="288">
        <v>3362</v>
      </c>
      <c r="B544" s="288" t="s">
        <v>2317</v>
      </c>
      <c r="C544" s="46">
        <v>120222</v>
      </c>
      <c r="D544" s="46">
        <v>106609</v>
      </c>
      <c r="E544" s="46">
        <v>142425</v>
      </c>
      <c r="F544">
        <v>12.76</v>
      </c>
      <c r="G544">
        <v>-15.58</v>
      </c>
      <c r="H544" s="46">
        <v>1144057</v>
      </c>
      <c r="I544" s="46">
        <v>1367427</v>
      </c>
      <c r="J544">
        <v>-16.329999999999998</v>
      </c>
      <c r="K544">
        <v>1</v>
      </c>
    </row>
    <row r="545" spans="1:11" customFormat="1" hidden="1">
      <c r="A545" s="288">
        <v>3360</v>
      </c>
      <c r="B545" s="288" t="s">
        <v>320</v>
      </c>
      <c r="C545" s="46">
        <v>734361</v>
      </c>
      <c r="D545" s="46">
        <v>1033336</v>
      </c>
      <c r="E545" s="46">
        <v>1209757</v>
      </c>
      <c r="F545">
        <v>-28.93</v>
      </c>
      <c r="G545">
        <v>-39.29</v>
      </c>
      <c r="H545" s="46">
        <v>10142318</v>
      </c>
      <c r="I545" s="46">
        <v>11376273</v>
      </c>
      <c r="J545">
        <v>-10.84</v>
      </c>
      <c r="K545">
        <v>0</v>
      </c>
    </row>
    <row r="546" spans="1:11" customFormat="1" hidden="1">
      <c r="A546">
        <v>3354</v>
      </c>
      <c r="B546" t="s">
        <v>2340</v>
      </c>
      <c r="C546" s="46">
        <v>50393</v>
      </c>
      <c r="D546" s="46">
        <v>49189</v>
      </c>
      <c r="E546" s="46">
        <v>57600</v>
      </c>
      <c r="F546">
        <v>2.44</v>
      </c>
      <c r="G546">
        <v>-12.51</v>
      </c>
      <c r="H546" s="46">
        <v>523833</v>
      </c>
      <c r="I546" s="46">
        <v>749621</v>
      </c>
      <c r="J546">
        <v>-30.12</v>
      </c>
      <c r="K546">
        <v>1</v>
      </c>
    </row>
    <row r="547" spans="1:11" customFormat="1" hidden="1">
      <c r="A547" s="288">
        <v>3339</v>
      </c>
      <c r="B547" s="288" t="s">
        <v>2151</v>
      </c>
      <c r="C547" s="46">
        <v>76634</v>
      </c>
      <c r="D547" s="46">
        <v>74640</v>
      </c>
      <c r="E547" s="46">
        <v>135516</v>
      </c>
      <c r="F547">
        <v>2.67</v>
      </c>
      <c r="G547">
        <v>-43.45</v>
      </c>
      <c r="H547" s="46">
        <v>1008832</v>
      </c>
      <c r="I547" s="46">
        <v>1854008</v>
      </c>
      <c r="J547">
        <v>-45.58</v>
      </c>
      <c r="K547">
        <v>0</v>
      </c>
    </row>
    <row r="548" spans="1:11" customFormat="1" hidden="1">
      <c r="A548">
        <v>3332</v>
      </c>
      <c r="B548" t="s">
        <v>319</v>
      </c>
      <c r="C548" s="46">
        <v>77853</v>
      </c>
      <c r="D548" s="46">
        <v>97359</v>
      </c>
      <c r="E548" s="46">
        <v>85836</v>
      </c>
      <c r="F548">
        <v>-20.03</v>
      </c>
      <c r="G548">
        <v>-9.3000000000000007</v>
      </c>
      <c r="H548" s="46">
        <v>1050630</v>
      </c>
      <c r="I548" s="46">
        <v>1082519</v>
      </c>
      <c r="J548">
        <v>-2.94</v>
      </c>
      <c r="K548">
        <v>0</v>
      </c>
    </row>
    <row r="549" spans="1:11" customFormat="1" hidden="1">
      <c r="A549">
        <v>3325</v>
      </c>
      <c r="B549" t="s">
        <v>2302</v>
      </c>
      <c r="C549" s="46">
        <v>167387</v>
      </c>
      <c r="D549" s="46">
        <v>134500</v>
      </c>
      <c r="E549" s="46">
        <v>108043</v>
      </c>
      <c r="F549">
        <v>24.45</v>
      </c>
      <c r="G549">
        <v>54.92</v>
      </c>
      <c r="H549" s="46">
        <v>1251978</v>
      </c>
      <c r="I549" s="46">
        <v>1252821</v>
      </c>
      <c r="J549">
        <v>-0.06</v>
      </c>
      <c r="K549">
        <v>1</v>
      </c>
    </row>
    <row r="550" spans="1:11" customFormat="1" hidden="1">
      <c r="A550">
        <v>3324</v>
      </c>
      <c r="B550" t="s">
        <v>2376</v>
      </c>
      <c r="C550" s="46">
        <v>428780</v>
      </c>
      <c r="D550" s="46">
        <v>436487</v>
      </c>
      <c r="E550" s="46">
        <v>426615</v>
      </c>
      <c r="F550">
        <v>-1.76</v>
      </c>
      <c r="G550">
        <v>0.5</v>
      </c>
      <c r="H550" s="46">
        <v>4241161</v>
      </c>
      <c r="I550" s="46">
        <v>3799126</v>
      </c>
      <c r="J550">
        <v>11.63</v>
      </c>
      <c r="K550">
        <v>1</v>
      </c>
    </row>
    <row r="551" spans="1:11" customFormat="1" hidden="1">
      <c r="A551">
        <v>3323</v>
      </c>
      <c r="B551" t="s">
        <v>318</v>
      </c>
      <c r="C551" s="46">
        <v>463391</v>
      </c>
      <c r="D551" s="46">
        <v>411201</v>
      </c>
      <c r="E551" s="46">
        <v>494170</v>
      </c>
      <c r="F551">
        <v>12.69</v>
      </c>
      <c r="G551">
        <v>-6.22</v>
      </c>
      <c r="H551" s="46">
        <v>4461134</v>
      </c>
      <c r="I551" s="46">
        <v>4281781</v>
      </c>
      <c r="J551">
        <v>4.18</v>
      </c>
      <c r="K551">
        <v>1</v>
      </c>
    </row>
    <row r="552" spans="1:11" customFormat="1" hidden="1">
      <c r="A552">
        <v>3322</v>
      </c>
      <c r="B552" t="s">
        <v>2339</v>
      </c>
      <c r="C552" s="46">
        <v>222904</v>
      </c>
      <c r="D552" s="46">
        <v>181970</v>
      </c>
      <c r="E552" s="46">
        <v>189131</v>
      </c>
      <c r="F552">
        <v>22.49</v>
      </c>
      <c r="G552">
        <v>17.850000000000001</v>
      </c>
      <c r="H552" s="46">
        <v>1920320</v>
      </c>
      <c r="I552" s="46">
        <v>2143715</v>
      </c>
      <c r="J552">
        <v>-10.42</v>
      </c>
      <c r="K552">
        <v>1</v>
      </c>
    </row>
    <row r="553" spans="1:11" customFormat="1" hidden="1">
      <c r="A553" s="288">
        <v>3317</v>
      </c>
      <c r="B553" s="288" t="s">
        <v>2122</v>
      </c>
      <c r="C553" s="46">
        <v>208066</v>
      </c>
      <c r="D553" s="46">
        <v>183137</v>
      </c>
      <c r="E553" s="46">
        <v>169635</v>
      </c>
      <c r="F553">
        <v>13.61</v>
      </c>
      <c r="G553">
        <v>22.65</v>
      </c>
      <c r="H553" s="46">
        <v>1823441</v>
      </c>
      <c r="I553" s="46">
        <v>2177532</v>
      </c>
      <c r="J553">
        <v>-16.260000000000002</v>
      </c>
      <c r="K553">
        <v>1</v>
      </c>
    </row>
    <row r="554" spans="1:11" customFormat="1" hidden="1">
      <c r="A554">
        <v>3313</v>
      </c>
      <c r="B554" t="s">
        <v>317</v>
      </c>
      <c r="C554" s="46">
        <v>129355</v>
      </c>
      <c r="D554" s="46">
        <v>125231</v>
      </c>
      <c r="E554" s="46">
        <v>202856</v>
      </c>
      <c r="F554">
        <v>3.29</v>
      </c>
      <c r="G554">
        <v>-36.229999999999997</v>
      </c>
      <c r="H554" s="46">
        <v>1544235</v>
      </c>
      <c r="I554" s="46">
        <v>1819327</v>
      </c>
      <c r="J554">
        <v>-15.12</v>
      </c>
      <c r="K554">
        <v>0</v>
      </c>
    </row>
    <row r="555" spans="1:11" customFormat="1" hidden="1">
      <c r="A555">
        <v>3310</v>
      </c>
      <c r="B555" t="s">
        <v>2338</v>
      </c>
      <c r="C555" s="46">
        <v>30219</v>
      </c>
      <c r="D555" s="46">
        <v>33780</v>
      </c>
      <c r="E555" s="46">
        <v>37534</v>
      </c>
      <c r="F555">
        <v>-10.54</v>
      </c>
      <c r="G555">
        <v>-19.48</v>
      </c>
      <c r="H555" s="46">
        <v>411429</v>
      </c>
      <c r="I555" s="46">
        <v>394467</v>
      </c>
      <c r="J555">
        <v>4.29</v>
      </c>
      <c r="K555">
        <v>0</v>
      </c>
    </row>
    <row r="556" spans="1:11" customFormat="1" hidden="1">
      <c r="A556">
        <v>3306</v>
      </c>
      <c r="B556" t="s">
        <v>2328</v>
      </c>
      <c r="C556" s="46">
        <v>110625</v>
      </c>
      <c r="D556" s="46">
        <v>124010</v>
      </c>
      <c r="E556" s="46">
        <v>124114</v>
      </c>
      <c r="F556">
        <v>-10.79</v>
      </c>
      <c r="G556">
        <v>-10.86</v>
      </c>
      <c r="H556" s="46">
        <v>1205765</v>
      </c>
      <c r="I556" s="46">
        <v>1262391</v>
      </c>
      <c r="J556">
        <v>-4.4800000000000004</v>
      </c>
      <c r="K556">
        <v>0</v>
      </c>
    </row>
    <row r="557" spans="1:11" customFormat="1" hidden="1">
      <c r="A557" s="288">
        <v>3303</v>
      </c>
      <c r="B557" s="288" t="s">
        <v>316</v>
      </c>
      <c r="C557" s="46">
        <v>222149</v>
      </c>
      <c r="D557" s="46">
        <v>217435</v>
      </c>
      <c r="E557" s="46">
        <v>184379</v>
      </c>
      <c r="F557">
        <v>2.16</v>
      </c>
      <c r="G557">
        <v>20.48</v>
      </c>
      <c r="H557" s="46">
        <v>2214690</v>
      </c>
      <c r="I557" s="46">
        <v>2510057</v>
      </c>
      <c r="J557">
        <v>-11.76</v>
      </c>
      <c r="K557">
        <v>1</v>
      </c>
    </row>
    <row r="558" spans="1:11" customFormat="1" hidden="1">
      <c r="A558">
        <v>3299</v>
      </c>
      <c r="B558" t="s">
        <v>315</v>
      </c>
      <c r="C558" s="46">
        <v>235214</v>
      </c>
      <c r="D558" s="46">
        <v>225492</v>
      </c>
      <c r="E558" s="46">
        <v>229273</v>
      </c>
      <c r="F558">
        <v>4.3099999999999996</v>
      </c>
      <c r="G558">
        <v>2.59</v>
      </c>
      <c r="H558" s="46">
        <v>2454829</v>
      </c>
      <c r="I558" s="46">
        <v>2330978</v>
      </c>
      <c r="J558">
        <v>5.31</v>
      </c>
      <c r="K558">
        <v>1</v>
      </c>
    </row>
    <row r="559" spans="1:11" customFormat="1" hidden="1">
      <c r="A559">
        <v>3297</v>
      </c>
      <c r="B559" t="s">
        <v>314</v>
      </c>
      <c r="C559" s="46">
        <v>45582</v>
      </c>
      <c r="D559" s="46">
        <v>41205</v>
      </c>
      <c r="E559" s="46">
        <v>58427</v>
      </c>
      <c r="F559">
        <v>10.62</v>
      </c>
      <c r="G559">
        <v>-21.98</v>
      </c>
      <c r="H559" s="46">
        <v>496937</v>
      </c>
      <c r="I559" s="46">
        <v>668090</v>
      </c>
      <c r="J559">
        <v>-25.61</v>
      </c>
      <c r="K559">
        <v>0</v>
      </c>
    </row>
    <row r="560" spans="1:11" customFormat="1" hidden="1">
      <c r="A560" s="288">
        <v>3294</v>
      </c>
      <c r="B560" s="288" t="s">
        <v>313</v>
      </c>
      <c r="C560" s="46">
        <v>544490</v>
      </c>
      <c r="D560" s="46">
        <v>567639</v>
      </c>
      <c r="E560" s="46">
        <v>481281</v>
      </c>
      <c r="F560">
        <v>-4.07</v>
      </c>
      <c r="G560">
        <v>13.13</v>
      </c>
      <c r="H560" s="46">
        <v>5506647</v>
      </c>
      <c r="I560" s="46">
        <v>4361823</v>
      </c>
      <c r="J560">
        <v>26.24</v>
      </c>
      <c r="K560">
        <v>1</v>
      </c>
    </row>
    <row r="561" spans="1:11" customFormat="1" hidden="1">
      <c r="A561">
        <v>3293</v>
      </c>
      <c r="B561" t="s">
        <v>2259</v>
      </c>
      <c r="C561" s="46">
        <v>190783</v>
      </c>
      <c r="D561" s="46">
        <v>168277</v>
      </c>
      <c r="E561" s="46">
        <v>149110</v>
      </c>
      <c r="F561">
        <v>13.37</v>
      </c>
      <c r="G561">
        <v>27.94</v>
      </c>
      <c r="H561" s="46">
        <v>1707480</v>
      </c>
      <c r="I561" s="46">
        <v>1536417</v>
      </c>
      <c r="J561">
        <v>11.13</v>
      </c>
      <c r="K561">
        <v>1</v>
      </c>
    </row>
    <row r="562" spans="1:11" customFormat="1" hidden="1">
      <c r="A562" s="288">
        <v>3291</v>
      </c>
      <c r="B562" s="288" t="s">
        <v>312</v>
      </c>
      <c r="C562" s="46">
        <v>58126</v>
      </c>
      <c r="D562" s="46">
        <v>58645</v>
      </c>
      <c r="E562" s="46">
        <v>65703</v>
      </c>
      <c r="F562">
        <v>-0.88</v>
      </c>
      <c r="G562">
        <v>-11.53</v>
      </c>
      <c r="H562" s="46">
        <v>633802</v>
      </c>
      <c r="I562" s="46">
        <v>824041</v>
      </c>
      <c r="J562">
        <v>-23.08</v>
      </c>
      <c r="K562">
        <v>0</v>
      </c>
    </row>
    <row r="563" spans="1:11" customFormat="1" hidden="1">
      <c r="A563">
        <v>3290</v>
      </c>
      <c r="B563" t="s">
        <v>2165</v>
      </c>
      <c r="C563" s="46">
        <v>215434</v>
      </c>
      <c r="D563" s="46">
        <v>256187</v>
      </c>
      <c r="E563" s="46">
        <v>270249</v>
      </c>
      <c r="F563">
        <v>-15.9</v>
      </c>
      <c r="G563">
        <v>-20.28</v>
      </c>
      <c r="H563" s="46">
        <v>2587113</v>
      </c>
      <c r="I563" s="46">
        <v>2973376</v>
      </c>
      <c r="J563">
        <v>-12.99</v>
      </c>
      <c r="K563">
        <v>0</v>
      </c>
    </row>
    <row r="564" spans="1:11" customFormat="1" hidden="1">
      <c r="A564">
        <v>3289</v>
      </c>
      <c r="B564" t="s">
        <v>2375</v>
      </c>
      <c r="C564" s="46">
        <v>161014</v>
      </c>
      <c r="D564" s="46">
        <v>161822</v>
      </c>
      <c r="E564" s="46">
        <v>154441</v>
      </c>
      <c r="F564">
        <v>-0.49</v>
      </c>
      <c r="G564">
        <v>4.25</v>
      </c>
      <c r="H564" s="46">
        <v>1837518</v>
      </c>
      <c r="I564" s="46">
        <v>1679631</v>
      </c>
      <c r="J564">
        <v>9.4</v>
      </c>
      <c r="K564">
        <v>0</v>
      </c>
    </row>
    <row r="565" spans="1:11" customFormat="1" hidden="1">
      <c r="A565" s="288">
        <v>3288</v>
      </c>
      <c r="B565" s="288" t="s">
        <v>2181</v>
      </c>
      <c r="C565" s="46">
        <v>21036</v>
      </c>
      <c r="D565" s="46">
        <v>24742</v>
      </c>
      <c r="E565" s="46">
        <v>30740</v>
      </c>
      <c r="F565">
        <v>-14.97</v>
      </c>
      <c r="G565">
        <v>-31.56</v>
      </c>
      <c r="H565" s="46">
        <v>244577</v>
      </c>
      <c r="I565" s="46">
        <v>358523</v>
      </c>
      <c r="J565">
        <v>-31.78</v>
      </c>
      <c r="K565">
        <v>0</v>
      </c>
    </row>
    <row r="566" spans="1:11" customFormat="1" hidden="1">
      <c r="A566" s="288">
        <v>3287</v>
      </c>
      <c r="B566" s="288" t="s">
        <v>2143</v>
      </c>
      <c r="C566" s="46">
        <v>39726</v>
      </c>
      <c r="D566" s="46">
        <v>30478</v>
      </c>
      <c r="E566" s="46">
        <v>41940</v>
      </c>
      <c r="F566">
        <v>30.34</v>
      </c>
      <c r="G566">
        <v>-5.27</v>
      </c>
      <c r="H566" s="46">
        <v>369129</v>
      </c>
      <c r="I566" s="46">
        <v>555637</v>
      </c>
      <c r="J566">
        <v>-33.56</v>
      </c>
      <c r="K566">
        <v>1</v>
      </c>
    </row>
    <row r="567" spans="1:11" customFormat="1" hidden="1">
      <c r="A567">
        <v>3285</v>
      </c>
      <c r="B567" t="s">
        <v>311</v>
      </c>
      <c r="C567" s="46">
        <v>111538</v>
      </c>
      <c r="D567" s="46">
        <v>131559</v>
      </c>
      <c r="E567" s="46">
        <v>93670</v>
      </c>
      <c r="F567">
        <v>-15.21</v>
      </c>
      <c r="G567">
        <v>19.07</v>
      </c>
      <c r="H567" s="46">
        <v>1348965</v>
      </c>
      <c r="I567" s="46">
        <v>1106631</v>
      </c>
      <c r="J567">
        <v>21.89</v>
      </c>
      <c r="K567">
        <v>0</v>
      </c>
    </row>
    <row r="568" spans="1:11" customFormat="1" hidden="1">
      <c r="A568">
        <v>3284</v>
      </c>
      <c r="B568" t="s">
        <v>310</v>
      </c>
      <c r="C568" s="46">
        <v>72527</v>
      </c>
      <c r="D568" s="46">
        <v>65224</v>
      </c>
      <c r="E568" s="46">
        <v>91206</v>
      </c>
      <c r="F568">
        <v>11.19</v>
      </c>
      <c r="G568">
        <v>-20.48</v>
      </c>
      <c r="H568" s="46">
        <v>817745</v>
      </c>
      <c r="I568" s="46">
        <v>943108</v>
      </c>
      <c r="J568">
        <v>-13.29</v>
      </c>
      <c r="K568">
        <v>0</v>
      </c>
    </row>
    <row r="569" spans="1:11" customFormat="1" hidden="1">
      <c r="A569">
        <v>3276</v>
      </c>
      <c r="B569" t="s">
        <v>1496</v>
      </c>
      <c r="C569" s="46">
        <v>64567</v>
      </c>
      <c r="D569" s="46">
        <v>75279</v>
      </c>
      <c r="E569" s="46">
        <v>79989</v>
      </c>
      <c r="F569">
        <v>-14.22</v>
      </c>
      <c r="G569">
        <v>-19.28</v>
      </c>
      <c r="H569" s="46">
        <v>768843</v>
      </c>
      <c r="I569" s="46">
        <v>870525</v>
      </c>
      <c r="J569">
        <v>-11.68</v>
      </c>
      <c r="K569">
        <v>0</v>
      </c>
    </row>
    <row r="570" spans="1:11" customFormat="1" hidden="1">
      <c r="A570">
        <v>3272</v>
      </c>
      <c r="B570" t="s">
        <v>309</v>
      </c>
      <c r="C570" s="46">
        <v>277064</v>
      </c>
      <c r="D570" s="46">
        <v>219481</v>
      </c>
      <c r="E570" s="46">
        <v>277122</v>
      </c>
      <c r="F570">
        <v>26.23</v>
      </c>
      <c r="G570">
        <v>-0.02</v>
      </c>
      <c r="H570" s="46">
        <v>2653319</v>
      </c>
      <c r="I570" s="46">
        <v>2860913</v>
      </c>
      <c r="J570">
        <v>-7.25</v>
      </c>
      <c r="K570">
        <v>1</v>
      </c>
    </row>
    <row r="571" spans="1:11" customFormat="1" hidden="1">
      <c r="A571" s="288">
        <v>3268</v>
      </c>
      <c r="B571" s="288" t="s">
        <v>308</v>
      </c>
      <c r="C571" s="46">
        <v>59327</v>
      </c>
      <c r="D571" s="46">
        <v>93310</v>
      </c>
      <c r="E571" s="46">
        <v>64486</v>
      </c>
      <c r="F571">
        <v>-36.409999999999997</v>
      </c>
      <c r="G571">
        <v>-8</v>
      </c>
      <c r="H571" s="46">
        <v>719967</v>
      </c>
      <c r="I571" s="46">
        <v>819821</v>
      </c>
      <c r="J571">
        <v>-12.17</v>
      </c>
      <c r="K571">
        <v>0</v>
      </c>
    </row>
    <row r="572" spans="1:11" customFormat="1" hidden="1">
      <c r="A572">
        <v>3265</v>
      </c>
      <c r="B572" t="s">
        <v>307</v>
      </c>
      <c r="C572" s="46">
        <v>170187</v>
      </c>
      <c r="D572" s="46">
        <v>168369</v>
      </c>
      <c r="E572" s="46">
        <v>337911</v>
      </c>
      <c r="F572">
        <v>1.07</v>
      </c>
      <c r="G572">
        <v>-49.63</v>
      </c>
      <c r="H572" s="46">
        <v>2724969</v>
      </c>
      <c r="I572" s="46">
        <v>3898343</v>
      </c>
      <c r="J572">
        <v>-30.09</v>
      </c>
      <c r="K572">
        <v>0</v>
      </c>
    </row>
    <row r="573" spans="1:11" customFormat="1" hidden="1">
      <c r="A573">
        <v>3264</v>
      </c>
      <c r="B573" t="s">
        <v>2121</v>
      </c>
      <c r="C573" s="46">
        <v>433340</v>
      </c>
      <c r="D573" s="46">
        <v>461789</v>
      </c>
      <c r="E573" s="46">
        <v>512024</v>
      </c>
      <c r="F573">
        <v>-6.16</v>
      </c>
      <c r="G573">
        <v>-15.36</v>
      </c>
      <c r="H573" s="46">
        <v>5487490</v>
      </c>
      <c r="I573" s="46">
        <v>5319850</v>
      </c>
      <c r="J573">
        <v>3.15</v>
      </c>
      <c r="K573">
        <v>0</v>
      </c>
    </row>
    <row r="574" spans="1:11" customFormat="1" hidden="1">
      <c r="A574">
        <v>3260</v>
      </c>
      <c r="B574" t="s">
        <v>2120</v>
      </c>
      <c r="C574" s="46">
        <v>1714549</v>
      </c>
      <c r="D574" s="46">
        <v>1672344</v>
      </c>
      <c r="E574" s="46">
        <v>2200341</v>
      </c>
      <c r="F574">
        <v>2.52</v>
      </c>
      <c r="G574">
        <v>-22.07</v>
      </c>
      <c r="H574" s="46">
        <v>18363001</v>
      </c>
      <c r="I574" s="46">
        <v>26720726</v>
      </c>
      <c r="J574">
        <v>-31.27</v>
      </c>
      <c r="K574">
        <v>0</v>
      </c>
    </row>
    <row r="575" spans="1:11" customFormat="1" hidden="1">
      <c r="A575">
        <v>3259</v>
      </c>
      <c r="B575" t="s">
        <v>2119</v>
      </c>
      <c r="C575" s="46">
        <v>33435</v>
      </c>
      <c r="D575" s="46">
        <v>32244</v>
      </c>
      <c r="E575" s="46">
        <v>55799</v>
      </c>
      <c r="F575">
        <v>3.69</v>
      </c>
      <c r="G575">
        <v>-40.07</v>
      </c>
      <c r="H575" s="46">
        <v>431493</v>
      </c>
      <c r="I575" s="46">
        <v>523242</v>
      </c>
      <c r="J575">
        <v>-17.53</v>
      </c>
      <c r="K575">
        <v>0</v>
      </c>
    </row>
    <row r="576" spans="1:11" customFormat="1" hidden="1">
      <c r="A576">
        <v>3252</v>
      </c>
      <c r="B576" t="s">
        <v>306</v>
      </c>
      <c r="C576" s="46">
        <v>6883</v>
      </c>
      <c r="D576" s="46">
        <v>6955</v>
      </c>
      <c r="E576" s="46">
        <v>17146</v>
      </c>
      <c r="F576">
        <v>-1.03</v>
      </c>
      <c r="G576">
        <v>-59.85</v>
      </c>
      <c r="H576" s="46">
        <v>126228</v>
      </c>
      <c r="I576" s="46">
        <v>182861</v>
      </c>
      <c r="J576">
        <v>-30.97</v>
      </c>
      <c r="K576">
        <v>0</v>
      </c>
    </row>
    <row r="577" spans="1:11" customFormat="1" hidden="1">
      <c r="A577">
        <v>3236</v>
      </c>
      <c r="B577" t="s">
        <v>305</v>
      </c>
      <c r="C577" s="46">
        <v>163287</v>
      </c>
      <c r="D577" s="46">
        <v>170760</v>
      </c>
      <c r="E577" s="46">
        <v>146594</v>
      </c>
      <c r="F577">
        <v>-4.37</v>
      </c>
      <c r="G577">
        <v>11.38</v>
      </c>
      <c r="H577" s="46">
        <v>1712152</v>
      </c>
      <c r="I577" s="46">
        <v>1672631</v>
      </c>
      <c r="J577">
        <v>2.36</v>
      </c>
      <c r="K577">
        <v>0</v>
      </c>
    </row>
    <row r="578" spans="1:11" customFormat="1" hidden="1">
      <c r="A578">
        <v>3234</v>
      </c>
      <c r="B578" t="s">
        <v>304</v>
      </c>
      <c r="C578" s="46">
        <v>552641</v>
      </c>
      <c r="D578" s="46">
        <v>545445</v>
      </c>
      <c r="E578" s="46">
        <v>243208</v>
      </c>
      <c r="F578">
        <v>1.31</v>
      </c>
      <c r="G578">
        <v>127.22</v>
      </c>
      <c r="H578" s="46">
        <v>4053648</v>
      </c>
      <c r="I578" s="46">
        <v>2139663</v>
      </c>
      <c r="J578">
        <v>89.45</v>
      </c>
      <c r="K578">
        <v>1</v>
      </c>
    </row>
    <row r="579" spans="1:11" customFormat="1" hidden="1">
      <c r="A579">
        <v>3232</v>
      </c>
      <c r="B579" t="s">
        <v>303</v>
      </c>
      <c r="C579" s="46">
        <v>44809</v>
      </c>
      <c r="D579" s="46">
        <v>47568</v>
      </c>
      <c r="E579" s="46">
        <v>61152</v>
      </c>
      <c r="F579">
        <v>-5.8</v>
      </c>
      <c r="G579">
        <v>-26.72</v>
      </c>
      <c r="H579" s="46">
        <v>672110</v>
      </c>
      <c r="I579" s="46">
        <v>789897</v>
      </c>
      <c r="J579">
        <v>-14.91</v>
      </c>
      <c r="K579">
        <v>0</v>
      </c>
    </row>
    <row r="580" spans="1:11" customFormat="1" hidden="1">
      <c r="A580" s="288">
        <v>3230</v>
      </c>
      <c r="B580" s="288" t="s">
        <v>2316</v>
      </c>
      <c r="C580" s="46">
        <v>153551</v>
      </c>
      <c r="D580" s="46">
        <v>136650</v>
      </c>
      <c r="E580" s="46">
        <v>176081</v>
      </c>
      <c r="F580">
        <v>12.36</v>
      </c>
      <c r="G580">
        <v>-12.79</v>
      </c>
      <c r="H580" s="46">
        <v>1522847</v>
      </c>
      <c r="I580" s="46">
        <v>2024887</v>
      </c>
      <c r="J580">
        <v>-24.79</v>
      </c>
      <c r="K580">
        <v>1</v>
      </c>
    </row>
    <row r="581" spans="1:11" customFormat="1" hidden="1">
      <c r="A581" s="288">
        <v>3228</v>
      </c>
      <c r="B581" s="288" t="s">
        <v>302</v>
      </c>
      <c r="C581" s="46">
        <v>23669</v>
      </c>
      <c r="D581" s="46">
        <v>19366</v>
      </c>
      <c r="E581" s="46">
        <v>25402</v>
      </c>
      <c r="F581">
        <v>22.21</v>
      </c>
      <c r="G581">
        <v>-6.82</v>
      </c>
      <c r="H581" s="46">
        <v>249297</v>
      </c>
      <c r="I581" s="46">
        <v>251699</v>
      </c>
      <c r="J581">
        <v>-0.95</v>
      </c>
      <c r="K581">
        <v>0</v>
      </c>
    </row>
    <row r="582" spans="1:11" customFormat="1" hidden="1">
      <c r="A582">
        <v>3227</v>
      </c>
      <c r="B582" t="s">
        <v>301</v>
      </c>
      <c r="C582" s="46">
        <v>361260</v>
      </c>
      <c r="D582" s="46">
        <v>368677</v>
      </c>
      <c r="E582" s="46">
        <v>347910</v>
      </c>
      <c r="F582">
        <v>-2.0099999999999998</v>
      </c>
      <c r="G582">
        <v>3.83</v>
      </c>
      <c r="H582" s="46">
        <v>3971549</v>
      </c>
      <c r="I582" s="46">
        <v>4391534</v>
      </c>
      <c r="J582">
        <v>-9.56</v>
      </c>
      <c r="K582">
        <v>0</v>
      </c>
    </row>
    <row r="583" spans="1:11" customFormat="1" hidden="1">
      <c r="A583">
        <v>3226</v>
      </c>
      <c r="B583" t="s">
        <v>300</v>
      </c>
      <c r="C583" s="46">
        <v>78997</v>
      </c>
      <c r="D583" s="46">
        <v>90288</v>
      </c>
      <c r="E583" s="46">
        <v>59969</v>
      </c>
      <c r="F583">
        <v>-12.5</v>
      </c>
      <c r="G583">
        <v>31.72</v>
      </c>
      <c r="H583" s="46">
        <v>965739</v>
      </c>
      <c r="I583" s="46">
        <v>789030</v>
      </c>
      <c r="J583">
        <v>22.39</v>
      </c>
      <c r="K583">
        <v>0</v>
      </c>
    </row>
    <row r="584" spans="1:11" customFormat="1" hidden="1">
      <c r="A584" s="288">
        <v>3224</v>
      </c>
      <c r="B584" s="288" t="s">
        <v>1491</v>
      </c>
      <c r="C584" s="46">
        <v>192346</v>
      </c>
      <c r="D584" s="46">
        <v>193919</v>
      </c>
      <c r="E584" s="46">
        <v>180041</v>
      </c>
      <c r="F584">
        <v>-0.81</v>
      </c>
      <c r="G584">
        <v>6.83</v>
      </c>
      <c r="H584" s="46">
        <v>1980498</v>
      </c>
      <c r="I584" s="46">
        <v>1887056</v>
      </c>
      <c r="J584">
        <v>4.95</v>
      </c>
      <c r="K584">
        <v>1</v>
      </c>
    </row>
    <row r="585" spans="1:11" customFormat="1" hidden="1">
      <c r="A585">
        <v>3221</v>
      </c>
      <c r="B585" t="s">
        <v>2164</v>
      </c>
      <c r="C585" s="46">
        <v>177202</v>
      </c>
      <c r="D585" s="46">
        <v>158688</v>
      </c>
      <c r="E585" s="46">
        <v>149202</v>
      </c>
      <c r="F585">
        <v>11.66</v>
      </c>
      <c r="G585">
        <v>18.760000000000002</v>
      </c>
      <c r="H585" s="46">
        <v>1563563</v>
      </c>
      <c r="I585" s="46">
        <v>1600458</v>
      </c>
      <c r="J585">
        <v>-2.2999999999999998</v>
      </c>
      <c r="K585">
        <v>1</v>
      </c>
    </row>
    <row r="586" spans="1:11" customFormat="1" hidden="1">
      <c r="A586">
        <v>3219</v>
      </c>
      <c r="B586" t="s">
        <v>2291</v>
      </c>
      <c r="C586" s="46">
        <v>13561</v>
      </c>
      <c r="D586" s="46">
        <v>10563</v>
      </c>
      <c r="E586" s="46">
        <v>21670</v>
      </c>
      <c r="F586">
        <v>28.38</v>
      </c>
      <c r="G586">
        <v>-37.42</v>
      </c>
      <c r="H586" s="46">
        <v>163683</v>
      </c>
      <c r="I586" s="46">
        <v>237297</v>
      </c>
      <c r="J586">
        <v>-31.02</v>
      </c>
      <c r="K586">
        <v>0</v>
      </c>
    </row>
    <row r="587" spans="1:11" customFormat="1" hidden="1">
      <c r="A587" s="288">
        <v>3218</v>
      </c>
      <c r="B587" s="288" t="s">
        <v>299</v>
      </c>
      <c r="C587" s="46">
        <v>74737</v>
      </c>
      <c r="D587" s="46">
        <v>83270</v>
      </c>
      <c r="E587" s="46">
        <v>78804</v>
      </c>
      <c r="F587">
        <v>-10.24</v>
      </c>
      <c r="G587">
        <v>-5.16</v>
      </c>
      <c r="H587" s="46">
        <v>927101</v>
      </c>
      <c r="I587" s="46">
        <v>896491</v>
      </c>
      <c r="J587">
        <v>3.41</v>
      </c>
      <c r="K587">
        <v>0</v>
      </c>
    </row>
    <row r="588" spans="1:11" customFormat="1" hidden="1">
      <c r="A588" s="288">
        <v>3217</v>
      </c>
      <c r="B588" s="288" t="s">
        <v>2337</v>
      </c>
      <c r="C588" s="46">
        <v>117430</v>
      </c>
      <c r="D588" s="46">
        <v>100084</v>
      </c>
      <c r="E588" s="46">
        <v>122815</v>
      </c>
      <c r="F588">
        <v>17.329999999999998</v>
      </c>
      <c r="G588">
        <v>-4.38</v>
      </c>
      <c r="H588" s="46">
        <v>1138694</v>
      </c>
      <c r="I588" s="46">
        <v>1178598</v>
      </c>
      <c r="J588">
        <v>-3.38</v>
      </c>
      <c r="K588">
        <v>1</v>
      </c>
    </row>
    <row r="589" spans="1:11" customFormat="1" hidden="1">
      <c r="A589" s="288">
        <v>3213</v>
      </c>
      <c r="B589" s="288" t="s">
        <v>2301</v>
      </c>
      <c r="C589" s="46">
        <v>146060</v>
      </c>
      <c r="D589" s="46">
        <v>207610</v>
      </c>
      <c r="E589" s="46">
        <v>157264</v>
      </c>
      <c r="F589">
        <v>-29.64</v>
      </c>
      <c r="G589">
        <v>-7.12</v>
      </c>
      <c r="H589" s="46">
        <v>1938227</v>
      </c>
      <c r="I589" s="46">
        <v>1964784</v>
      </c>
      <c r="J589">
        <v>-1.35</v>
      </c>
      <c r="K589">
        <v>0</v>
      </c>
    </row>
    <row r="590" spans="1:11" customFormat="1" hidden="1">
      <c r="A590">
        <v>3211</v>
      </c>
      <c r="B590" t="s">
        <v>2142</v>
      </c>
      <c r="C590" s="46">
        <v>2194458</v>
      </c>
      <c r="D590" s="46">
        <v>2015494</v>
      </c>
      <c r="E590" s="46">
        <v>2581546</v>
      </c>
      <c r="F590">
        <v>8.8699999999999992</v>
      </c>
      <c r="G590">
        <v>-14.99</v>
      </c>
      <c r="H590" s="46">
        <v>19814312</v>
      </c>
      <c r="I590" s="46">
        <v>23771056</v>
      </c>
      <c r="J590">
        <v>-16.64</v>
      </c>
      <c r="K590">
        <v>1</v>
      </c>
    </row>
    <row r="591" spans="1:11" customFormat="1" hidden="1">
      <c r="A591" s="288">
        <v>3207</v>
      </c>
      <c r="B591" s="288" t="s">
        <v>298</v>
      </c>
      <c r="C591" s="46">
        <v>94469</v>
      </c>
      <c r="D591" s="46">
        <v>88782</v>
      </c>
      <c r="E591" s="46">
        <v>94733</v>
      </c>
      <c r="F591">
        <v>6.4</v>
      </c>
      <c r="G591">
        <v>-0.27</v>
      </c>
      <c r="H591" s="46">
        <v>909129</v>
      </c>
      <c r="I591" s="46">
        <v>1046834</v>
      </c>
      <c r="J591">
        <v>-13.15</v>
      </c>
      <c r="K591">
        <v>1</v>
      </c>
    </row>
    <row r="592" spans="1:11" customFormat="1" hidden="1">
      <c r="A592">
        <v>3206</v>
      </c>
      <c r="B592" t="s">
        <v>2336</v>
      </c>
      <c r="C592" s="46">
        <v>121660</v>
      </c>
      <c r="D592" s="46">
        <v>132229</v>
      </c>
      <c r="E592" s="46">
        <v>118520</v>
      </c>
      <c r="F592">
        <v>-7.99</v>
      </c>
      <c r="G592">
        <v>2.64</v>
      </c>
      <c r="H592" s="46">
        <v>1446179</v>
      </c>
      <c r="I592" s="46">
        <v>1252244</v>
      </c>
      <c r="J592">
        <v>15.48</v>
      </c>
      <c r="K592">
        <v>0</v>
      </c>
    </row>
    <row r="593" spans="1:11" customFormat="1" hidden="1">
      <c r="A593">
        <v>3205</v>
      </c>
      <c r="B593" t="s">
        <v>297</v>
      </c>
      <c r="C593" s="46">
        <v>163437</v>
      </c>
      <c r="D593" s="46">
        <v>158094</v>
      </c>
      <c r="E593" s="46">
        <v>40885</v>
      </c>
      <c r="F593">
        <v>3.37</v>
      </c>
      <c r="G593">
        <v>299.74</v>
      </c>
      <c r="H593" s="46">
        <v>1065552</v>
      </c>
      <c r="I593" s="46">
        <v>379415</v>
      </c>
      <c r="J593">
        <v>180.84</v>
      </c>
      <c r="K593">
        <v>1</v>
      </c>
    </row>
    <row r="594" spans="1:11" customFormat="1" hidden="1">
      <c r="A594">
        <v>3202</v>
      </c>
      <c r="B594" t="s">
        <v>2335</v>
      </c>
      <c r="C594" s="46">
        <v>196177</v>
      </c>
      <c r="D594" s="46">
        <v>219803</v>
      </c>
      <c r="E594" s="46">
        <v>203540</v>
      </c>
      <c r="F594">
        <v>-10.74</v>
      </c>
      <c r="G594">
        <v>-3.61</v>
      </c>
      <c r="H594" s="46">
        <v>2070614</v>
      </c>
      <c r="I594" s="46">
        <v>2042460</v>
      </c>
      <c r="J594">
        <v>1.37</v>
      </c>
      <c r="K594">
        <v>0</v>
      </c>
    </row>
    <row r="595" spans="1:11" customFormat="1" hidden="1">
      <c r="A595">
        <v>3191</v>
      </c>
      <c r="B595" t="s">
        <v>1483</v>
      </c>
      <c r="C595" s="46">
        <v>46754</v>
      </c>
      <c r="D595" s="46">
        <v>46033</v>
      </c>
      <c r="E595" s="46">
        <v>52629</v>
      </c>
      <c r="F595">
        <v>1.56</v>
      </c>
      <c r="G595">
        <v>-11.16</v>
      </c>
      <c r="H595" s="46">
        <v>652343</v>
      </c>
      <c r="I595" s="46">
        <v>626430</v>
      </c>
      <c r="J595">
        <v>4.13</v>
      </c>
      <c r="K595">
        <v>0</v>
      </c>
    </row>
    <row r="596" spans="1:11" customFormat="1" hidden="1">
      <c r="A596">
        <v>3188</v>
      </c>
      <c r="B596" t="s">
        <v>296</v>
      </c>
      <c r="C596" s="46">
        <v>17395</v>
      </c>
      <c r="D596" s="46">
        <v>17808</v>
      </c>
      <c r="E596" s="46">
        <v>18239</v>
      </c>
      <c r="F596">
        <v>-2.31</v>
      </c>
      <c r="G596">
        <v>-4.62</v>
      </c>
      <c r="H596" s="46">
        <v>175064</v>
      </c>
      <c r="I596" s="46">
        <v>235711</v>
      </c>
      <c r="J596">
        <v>-25.72</v>
      </c>
      <c r="K596">
        <v>1</v>
      </c>
    </row>
    <row r="597" spans="1:11" customFormat="1" hidden="1">
      <c r="A597">
        <v>3176</v>
      </c>
      <c r="B597" t="s">
        <v>295</v>
      </c>
      <c r="C597" s="46">
        <v>36145</v>
      </c>
      <c r="D597" s="46">
        <v>29596</v>
      </c>
      <c r="E597" s="46">
        <v>30876</v>
      </c>
      <c r="F597">
        <v>22.12</v>
      </c>
      <c r="G597">
        <v>17.059999999999999</v>
      </c>
      <c r="H597" s="46">
        <v>337755</v>
      </c>
      <c r="I597" s="46">
        <v>343043</v>
      </c>
      <c r="J597">
        <v>-1.54</v>
      </c>
      <c r="K597">
        <v>1</v>
      </c>
    </row>
    <row r="598" spans="1:11" customFormat="1" hidden="1">
      <c r="A598">
        <v>3171</v>
      </c>
      <c r="B598" t="s">
        <v>2394</v>
      </c>
      <c r="C598" s="46">
        <v>152893</v>
      </c>
      <c r="D598" s="46">
        <v>141505</v>
      </c>
      <c r="E598" s="46">
        <v>166829</v>
      </c>
      <c r="F598">
        <v>8.0399999999999991</v>
      </c>
      <c r="G598">
        <v>-8.35</v>
      </c>
      <c r="H598" s="46">
        <v>1579162</v>
      </c>
      <c r="I598" s="46">
        <v>1618835</v>
      </c>
      <c r="J598">
        <v>-2.4500000000000002</v>
      </c>
      <c r="K598">
        <v>1</v>
      </c>
    </row>
    <row r="599" spans="1:11" customFormat="1">
      <c r="A599" s="288" t="str">
        <f>HYPERLINK("http://tw.stock.yahoo.com/q/ta?s=5289","5289")</f>
        <v>5289</v>
      </c>
      <c r="B599" s="288" t="str">
        <f>HYPERLINK("http://tw.stock.yahoo.com/d/s/earning_5289.html","宜鼎國際")</f>
        <v>宜鼎國際</v>
      </c>
      <c r="C599" s="46">
        <v>395674</v>
      </c>
      <c r="D599" s="46">
        <v>371324</v>
      </c>
      <c r="E599" s="46">
        <v>340808</v>
      </c>
      <c r="F599">
        <v>6.55</v>
      </c>
      <c r="G599">
        <v>16.09</v>
      </c>
      <c r="H599" s="46">
        <v>3993835</v>
      </c>
      <c r="I599" s="46">
        <v>3233086</v>
      </c>
      <c r="J599">
        <v>23.53</v>
      </c>
      <c r="K599">
        <v>1</v>
      </c>
    </row>
    <row r="600" spans="1:11" customFormat="1">
      <c r="A600" s="288" t="str">
        <f>HYPERLINK("http://tw.stock.yahoo.com/q/ta?s=5306","5306")</f>
        <v>5306</v>
      </c>
      <c r="B600" s="288" t="str">
        <f>HYPERLINK("http://tw.stock.yahoo.com/d/s/earning_5306.html","桂盟")</f>
        <v>桂盟</v>
      </c>
      <c r="C600" s="46">
        <v>302331</v>
      </c>
      <c r="D600" s="46">
        <v>268625</v>
      </c>
      <c r="E600" s="46">
        <v>248404</v>
      </c>
      <c r="F600">
        <v>12.54</v>
      </c>
      <c r="G600">
        <v>21.7</v>
      </c>
      <c r="H600" s="46">
        <v>3032885</v>
      </c>
      <c r="I600" s="46">
        <v>2493249</v>
      </c>
      <c r="J600">
        <v>21.64</v>
      </c>
      <c r="K600">
        <v>1</v>
      </c>
    </row>
    <row r="601" spans="1:11" customFormat="1" hidden="1">
      <c r="A601">
        <v>3162</v>
      </c>
      <c r="B601" t="s">
        <v>2081</v>
      </c>
      <c r="C601" s="46">
        <v>57126</v>
      </c>
      <c r="D601" s="46">
        <v>59167</v>
      </c>
      <c r="E601" s="46">
        <v>76774</v>
      </c>
      <c r="F601">
        <v>-3.44</v>
      </c>
      <c r="G601">
        <v>-25.59</v>
      </c>
      <c r="H601" s="46">
        <v>714688</v>
      </c>
      <c r="I601" s="46">
        <v>738400</v>
      </c>
      <c r="J601">
        <v>-3.21</v>
      </c>
      <c r="K601">
        <v>0</v>
      </c>
    </row>
    <row r="602" spans="1:11" customFormat="1" hidden="1">
      <c r="A602" s="288">
        <v>3152</v>
      </c>
      <c r="B602" s="288" t="s">
        <v>2163</v>
      </c>
      <c r="C602" s="46">
        <v>171003</v>
      </c>
      <c r="D602" s="46">
        <v>170947</v>
      </c>
      <c r="E602" s="46">
        <v>114773</v>
      </c>
      <c r="F602">
        <v>0.03</v>
      </c>
      <c r="G602">
        <v>48.99</v>
      </c>
      <c r="H602" s="46">
        <v>1595824</v>
      </c>
      <c r="I602" s="46">
        <v>1173400</v>
      </c>
      <c r="J602">
        <v>36</v>
      </c>
      <c r="K602">
        <v>1</v>
      </c>
    </row>
    <row r="603" spans="1:11" customFormat="1" hidden="1">
      <c r="A603">
        <v>3144</v>
      </c>
      <c r="B603" t="s">
        <v>293</v>
      </c>
      <c r="C603" s="46">
        <v>155483</v>
      </c>
      <c r="D603" s="46">
        <v>183507</v>
      </c>
      <c r="E603" s="46">
        <v>166657</v>
      </c>
      <c r="F603">
        <v>-15.27</v>
      </c>
      <c r="G603">
        <v>-6.7</v>
      </c>
      <c r="H603" s="46">
        <v>1841341</v>
      </c>
      <c r="I603" s="46">
        <v>1812343</v>
      </c>
      <c r="J603">
        <v>1.6</v>
      </c>
      <c r="K603">
        <v>0</v>
      </c>
    </row>
    <row r="604" spans="1:11" customFormat="1" hidden="1">
      <c r="A604">
        <v>3141</v>
      </c>
      <c r="B604" t="s">
        <v>292</v>
      </c>
      <c r="C604" s="46">
        <v>97582</v>
      </c>
      <c r="D604" s="46">
        <v>97917</v>
      </c>
      <c r="E604" s="46">
        <v>82862</v>
      </c>
      <c r="F604">
        <v>-0.34</v>
      </c>
      <c r="G604">
        <v>17.760000000000002</v>
      </c>
      <c r="H604" s="46">
        <v>995455</v>
      </c>
      <c r="I604" s="46">
        <v>927890</v>
      </c>
      <c r="J604">
        <v>7.28</v>
      </c>
      <c r="K604">
        <v>1</v>
      </c>
    </row>
    <row r="605" spans="1:11" customFormat="1" hidden="1">
      <c r="A605">
        <v>3131</v>
      </c>
      <c r="B605" t="s">
        <v>2374</v>
      </c>
      <c r="C605" s="46">
        <v>181229</v>
      </c>
      <c r="D605" s="46">
        <v>181224</v>
      </c>
      <c r="E605" s="46">
        <v>151982</v>
      </c>
      <c r="F605">
        <v>0</v>
      </c>
      <c r="G605">
        <v>19.239999999999998</v>
      </c>
      <c r="H605" s="46">
        <v>1682449</v>
      </c>
      <c r="I605" s="46">
        <v>1349973</v>
      </c>
      <c r="J605">
        <v>24.62</v>
      </c>
      <c r="K605">
        <v>1</v>
      </c>
    </row>
    <row r="606" spans="1:11" customFormat="1" hidden="1">
      <c r="A606">
        <v>3128</v>
      </c>
      <c r="B606" t="s">
        <v>2150</v>
      </c>
      <c r="C606" s="46">
        <v>68983</v>
      </c>
      <c r="D606" s="46">
        <v>61481</v>
      </c>
      <c r="E606" s="46">
        <v>54434</v>
      </c>
      <c r="F606">
        <v>12.2</v>
      </c>
      <c r="G606">
        <v>26.72</v>
      </c>
      <c r="H606" s="46">
        <v>676884</v>
      </c>
      <c r="I606" s="46">
        <v>697993</v>
      </c>
      <c r="J606">
        <v>-3.02</v>
      </c>
      <c r="K606">
        <v>1</v>
      </c>
    </row>
    <row r="607" spans="1:11" customFormat="1" hidden="1">
      <c r="A607">
        <v>3126</v>
      </c>
      <c r="B607" t="s">
        <v>2300</v>
      </c>
      <c r="C607" s="46">
        <v>5918</v>
      </c>
      <c r="D607" s="46">
        <v>6000</v>
      </c>
      <c r="E607" s="46">
        <v>8939</v>
      </c>
      <c r="F607">
        <v>-1.36</v>
      </c>
      <c r="G607">
        <v>-33.79</v>
      </c>
      <c r="H607" s="46">
        <v>2164017</v>
      </c>
      <c r="I607" s="46">
        <v>595201</v>
      </c>
      <c r="J607">
        <v>263.57</v>
      </c>
      <c r="K607">
        <v>0</v>
      </c>
    </row>
    <row r="608" spans="1:11" customFormat="1" hidden="1">
      <c r="A608">
        <v>3122</v>
      </c>
      <c r="B608" t="s">
        <v>2290</v>
      </c>
      <c r="C608" s="46">
        <v>54926</v>
      </c>
      <c r="D608" s="46">
        <v>59161</v>
      </c>
      <c r="E608" s="46">
        <v>48217</v>
      </c>
      <c r="F608">
        <v>-7.15</v>
      </c>
      <c r="G608">
        <v>13.91</v>
      </c>
      <c r="H608" s="46">
        <v>505631</v>
      </c>
      <c r="I608" s="46">
        <v>492713</v>
      </c>
      <c r="J608">
        <v>2.62</v>
      </c>
      <c r="K608">
        <v>1</v>
      </c>
    </row>
    <row r="609" spans="1:11" customFormat="1" hidden="1">
      <c r="A609">
        <v>3118</v>
      </c>
      <c r="B609" t="s">
        <v>2098</v>
      </c>
      <c r="C609" s="46">
        <v>46664</v>
      </c>
      <c r="D609" s="46">
        <v>43775</v>
      </c>
      <c r="E609" s="46">
        <v>42689</v>
      </c>
      <c r="F609">
        <v>6.59</v>
      </c>
      <c r="G609">
        <v>9.31</v>
      </c>
      <c r="H609" s="46">
        <v>471858</v>
      </c>
      <c r="I609" s="46">
        <v>459481</v>
      </c>
      <c r="J609">
        <v>2.69</v>
      </c>
      <c r="K609">
        <v>1</v>
      </c>
    </row>
    <row r="610" spans="1:11" customFormat="1" hidden="1">
      <c r="A610">
        <v>3115</v>
      </c>
      <c r="B610" t="s">
        <v>1474</v>
      </c>
      <c r="C610" s="46">
        <v>74703</v>
      </c>
      <c r="D610" s="46">
        <v>81931</v>
      </c>
      <c r="E610" s="46">
        <v>65599</v>
      </c>
      <c r="F610">
        <v>-8.82</v>
      </c>
      <c r="G610">
        <v>13.87</v>
      </c>
      <c r="H610" s="46">
        <v>819635</v>
      </c>
      <c r="I610" s="46">
        <v>679544</v>
      </c>
      <c r="J610">
        <v>20.61</v>
      </c>
      <c r="K610">
        <v>0</v>
      </c>
    </row>
    <row r="611" spans="1:11" customFormat="1" hidden="1">
      <c r="A611">
        <v>3114</v>
      </c>
      <c r="B611" t="s">
        <v>2334</v>
      </c>
      <c r="C611" s="46">
        <v>157231</v>
      </c>
      <c r="D611" s="46">
        <v>162809</v>
      </c>
      <c r="E611" s="46">
        <v>173699</v>
      </c>
      <c r="F611">
        <v>-3.42</v>
      </c>
      <c r="G611">
        <v>-9.48</v>
      </c>
      <c r="H611" s="46">
        <v>1786009</v>
      </c>
      <c r="I611" s="46">
        <v>1592145</v>
      </c>
      <c r="J611">
        <v>12.17</v>
      </c>
      <c r="K611">
        <v>0</v>
      </c>
    </row>
    <row r="612" spans="1:11" customFormat="1" hidden="1">
      <c r="A612">
        <v>3105</v>
      </c>
      <c r="B612" t="s">
        <v>291</v>
      </c>
      <c r="C612" s="46">
        <v>1063705</v>
      </c>
      <c r="D612" s="46">
        <v>1048216</v>
      </c>
      <c r="E612" s="46">
        <v>869608</v>
      </c>
      <c r="F612">
        <v>1.47</v>
      </c>
      <c r="G612">
        <v>22.32</v>
      </c>
      <c r="H612" s="46">
        <v>10929654</v>
      </c>
      <c r="I612" s="46">
        <v>9083722</v>
      </c>
      <c r="J612">
        <v>20.32</v>
      </c>
      <c r="K612">
        <v>1</v>
      </c>
    </row>
    <row r="613" spans="1:11" customFormat="1" hidden="1">
      <c r="A613" s="288">
        <v>3095</v>
      </c>
      <c r="B613" s="288" t="s">
        <v>290</v>
      </c>
      <c r="C613" s="46">
        <v>397868</v>
      </c>
      <c r="D613" s="46">
        <v>332500</v>
      </c>
      <c r="E613" s="46">
        <v>633511</v>
      </c>
      <c r="F613">
        <v>19.649999999999999</v>
      </c>
      <c r="G613">
        <v>-37.19</v>
      </c>
      <c r="H613" s="46">
        <v>4064490</v>
      </c>
      <c r="I613" s="46">
        <v>4684746</v>
      </c>
      <c r="J613">
        <v>-13.23</v>
      </c>
      <c r="K613">
        <v>1</v>
      </c>
    </row>
    <row r="614" spans="1:11" customFormat="1" hidden="1">
      <c r="A614">
        <v>3093</v>
      </c>
      <c r="B614" t="s">
        <v>289</v>
      </c>
      <c r="C614" s="46">
        <v>91525</v>
      </c>
      <c r="D614" s="46">
        <v>104783</v>
      </c>
      <c r="E614" s="46">
        <v>51435</v>
      </c>
      <c r="F614">
        <v>-12.65</v>
      </c>
      <c r="G614">
        <v>77.94</v>
      </c>
      <c r="H614" s="46">
        <v>851184</v>
      </c>
      <c r="I614" s="46">
        <v>809068</v>
      </c>
      <c r="J614">
        <v>5.2</v>
      </c>
      <c r="K614">
        <v>1</v>
      </c>
    </row>
    <row r="615" spans="1:11" customFormat="1" hidden="1">
      <c r="A615">
        <v>3092</v>
      </c>
      <c r="B615" t="s">
        <v>288</v>
      </c>
      <c r="C615" s="46">
        <v>202864</v>
      </c>
      <c r="D615" s="46">
        <v>212273</v>
      </c>
      <c r="E615" s="46">
        <v>177607</v>
      </c>
      <c r="F615">
        <v>-4.43</v>
      </c>
      <c r="G615">
        <v>14.22</v>
      </c>
      <c r="H615" s="46">
        <v>2089338</v>
      </c>
      <c r="I615" s="46">
        <v>1906078</v>
      </c>
      <c r="J615">
        <v>9.61</v>
      </c>
      <c r="K615">
        <v>1</v>
      </c>
    </row>
    <row r="616" spans="1:11" customFormat="1" hidden="1">
      <c r="A616">
        <v>3089</v>
      </c>
      <c r="B616" t="s">
        <v>287</v>
      </c>
      <c r="C616" s="46">
        <v>23590</v>
      </c>
      <c r="D616" s="46">
        <v>35396</v>
      </c>
      <c r="E616" s="46">
        <v>45558</v>
      </c>
      <c r="F616">
        <v>-33.35</v>
      </c>
      <c r="G616">
        <v>-48.21</v>
      </c>
      <c r="H616" s="46">
        <v>283842</v>
      </c>
      <c r="I616" s="46">
        <v>486876</v>
      </c>
      <c r="J616">
        <v>-41.7</v>
      </c>
      <c r="K616">
        <v>0</v>
      </c>
    </row>
    <row r="617" spans="1:11" customFormat="1" hidden="1">
      <c r="A617">
        <v>3088</v>
      </c>
      <c r="B617" t="s">
        <v>286</v>
      </c>
      <c r="C617" s="46">
        <v>395406</v>
      </c>
      <c r="D617" s="46">
        <v>442973</v>
      </c>
      <c r="E617" s="46">
        <v>321105</v>
      </c>
      <c r="F617">
        <v>-10.73</v>
      </c>
      <c r="G617">
        <v>23.13</v>
      </c>
      <c r="H617" s="46">
        <v>4241231</v>
      </c>
      <c r="I617" s="46">
        <v>3919132</v>
      </c>
      <c r="J617">
        <v>8.2100000000000009</v>
      </c>
      <c r="K617">
        <v>0</v>
      </c>
    </row>
    <row r="618" spans="1:11" customFormat="1" hidden="1">
      <c r="A618">
        <v>3086</v>
      </c>
      <c r="B618" t="s">
        <v>2404</v>
      </c>
      <c r="C618" s="46">
        <v>29804</v>
      </c>
      <c r="D618" s="46">
        <v>37274</v>
      </c>
      <c r="E618" s="46">
        <v>27041</v>
      </c>
      <c r="F618">
        <v>-20.04</v>
      </c>
      <c r="G618">
        <v>10.210000000000001</v>
      </c>
      <c r="H618" s="46">
        <v>395060</v>
      </c>
      <c r="I618" s="46">
        <v>436914</v>
      </c>
      <c r="J618">
        <v>-9.57</v>
      </c>
      <c r="K618">
        <v>0</v>
      </c>
    </row>
    <row r="619" spans="1:11" customFormat="1" hidden="1">
      <c r="A619">
        <v>3085</v>
      </c>
      <c r="B619" t="s">
        <v>285</v>
      </c>
      <c r="C619" s="46">
        <v>21271</v>
      </c>
      <c r="D619" s="46">
        <v>29952</v>
      </c>
      <c r="E619" s="46">
        <v>30887</v>
      </c>
      <c r="F619">
        <v>-28.98</v>
      </c>
      <c r="G619">
        <v>-31.13</v>
      </c>
      <c r="H619" s="46">
        <v>297777</v>
      </c>
      <c r="I619" s="46">
        <v>323125</v>
      </c>
      <c r="J619">
        <v>-7.84</v>
      </c>
      <c r="K619">
        <v>0</v>
      </c>
    </row>
    <row r="620" spans="1:11" customFormat="1" hidden="1">
      <c r="A620">
        <v>3083</v>
      </c>
      <c r="B620" t="s">
        <v>2403</v>
      </c>
      <c r="C620" s="46">
        <v>28184</v>
      </c>
      <c r="D620" s="46">
        <v>29686</v>
      </c>
      <c r="E620" s="46">
        <v>20673</v>
      </c>
      <c r="F620">
        <v>-5.05</v>
      </c>
      <c r="G620">
        <v>36.33</v>
      </c>
      <c r="H620" s="46">
        <v>314398</v>
      </c>
      <c r="I620" s="46">
        <v>381583</v>
      </c>
      <c r="J620">
        <v>-17.600000000000001</v>
      </c>
      <c r="K620">
        <v>0</v>
      </c>
    </row>
    <row r="621" spans="1:11" customFormat="1" hidden="1">
      <c r="A621">
        <v>3081</v>
      </c>
      <c r="B621" t="s">
        <v>2162</v>
      </c>
      <c r="C621" s="46">
        <v>210928</v>
      </c>
      <c r="D621" s="46">
        <v>205349</v>
      </c>
      <c r="E621" s="46">
        <v>129574</v>
      </c>
      <c r="F621">
        <v>2.71</v>
      </c>
      <c r="G621">
        <v>62.78</v>
      </c>
      <c r="H621" s="46">
        <v>1823172</v>
      </c>
      <c r="I621" s="46">
        <v>1187043</v>
      </c>
      <c r="J621">
        <v>53.58</v>
      </c>
      <c r="K621">
        <v>1</v>
      </c>
    </row>
    <row r="622" spans="1:11" customFormat="1" hidden="1">
      <c r="A622" s="288">
        <v>3078</v>
      </c>
      <c r="B622" s="288" t="s">
        <v>2180</v>
      </c>
      <c r="C622" s="46">
        <v>710578</v>
      </c>
      <c r="D622" s="46">
        <v>651419</v>
      </c>
      <c r="E622" s="46">
        <v>382748</v>
      </c>
      <c r="F622">
        <v>9.08</v>
      </c>
      <c r="G622">
        <v>85.65</v>
      </c>
      <c r="H622" s="46">
        <v>5203895</v>
      </c>
      <c r="I622" s="46">
        <v>5175997</v>
      </c>
      <c r="J622">
        <v>0.53</v>
      </c>
      <c r="K622">
        <v>1</v>
      </c>
    </row>
    <row r="623" spans="1:11" customFormat="1" hidden="1">
      <c r="A623" s="288">
        <v>3073</v>
      </c>
      <c r="B623" s="288" t="s">
        <v>2118</v>
      </c>
      <c r="C623" s="46">
        <v>2332</v>
      </c>
      <c r="D623" s="46">
        <v>3271</v>
      </c>
      <c r="E623" s="46">
        <v>4303</v>
      </c>
      <c r="F623">
        <v>-28.7</v>
      </c>
      <c r="G623">
        <v>-45.8</v>
      </c>
      <c r="H623" s="46">
        <v>37714</v>
      </c>
      <c r="I623" s="46">
        <v>68254</v>
      </c>
      <c r="J623">
        <v>-44.74</v>
      </c>
      <c r="K623">
        <v>0</v>
      </c>
    </row>
    <row r="624" spans="1:11" customFormat="1" hidden="1">
      <c r="A624">
        <v>3071</v>
      </c>
      <c r="B624" t="s">
        <v>2299</v>
      </c>
      <c r="C624" s="46">
        <v>206407</v>
      </c>
      <c r="D624" s="46">
        <v>187522</v>
      </c>
      <c r="E624" s="46">
        <v>224534</v>
      </c>
      <c r="F624">
        <v>10.07</v>
      </c>
      <c r="G624">
        <v>-8.07</v>
      </c>
      <c r="H624" s="46">
        <v>2188121</v>
      </c>
      <c r="I624" s="46">
        <v>2406054</v>
      </c>
      <c r="J624">
        <v>-9.0500000000000007</v>
      </c>
      <c r="K624">
        <v>0</v>
      </c>
    </row>
    <row r="625" spans="1:11" customFormat="1" hidden="1">
      <c r="A625" s="288">
        <v>3068</v>
      </c>
      <c r="B625" s="288" t="s">
        <v>284</v>
      </c>
      <c r="C625" s="46">
        <v>246675</v>
      </c>
      <c r="D625" s="46">
        <v>242485</v>
      </c>
      <c r="E625" s="46">
        <v>238146</v>
      </c>
      <c r="F625">
        <v>1.72</v>
      </c>
      <c r="G625">
        <v>3.58</v>
      </c>
      <c r="H625" s="46">
        <v>2465881</v>
      </c>
      <c r="I625" s="46">
        <v>2439697</v>
      </c>
      <c r="J625">
        <v>1.07</v>
      </c>
      <c r="K625">
        <v>1</v>
      </c>
    </row>
    <row r="626" spans="1:11" customFormat="1" hidden="1">
      <c r="A626">
        <v>3067</v>
      </c>
      <c r="B626" t="s">
        <v>283</v>
      </c>
      <c r="C626" s="46">
        <v>22766</v>
      </c>
      <c r="D626" s="46">
        <v>21360</v>
      </c>
      <c r="E626" s="46">
        <v>42247</v>
      </c>
      <c r="F626">
        <v>6.58</v>
      </c>
      <c r="G626">
        <v>-46.11</v>
      </c>
      <c r="H626" s="46">
        <v>269833</v>
      </c>
      <c r="I626" s="46">
        <v>290940</v>
      </c>
      <c r="J626">
        <v>-7.25</v>
      </c>
      <c r="K626">
        <v>0</v>
      </c>
    </row>
    <row r="627" spans="1:11" customFormat="1" hidden="1">
      <c r="A627">
        <v>3066</v>
      </c>
      <c r="B627" t="s">
        <v>2149</v>
      </c>
      <c r="C627" s="46">
        <v>38437</v>
      </c>
      <c r="D627" s="46">
        <v>35568</v>
      </c>
      <c r="E627" s="46">
        <v>48550</v>
      </c>
      <c r="F627">
        <v>8.06</v>
      </c>
      <c r="G627">
        <v>-20.83</v>
      </c>
      <c r="H627" s="46">
        <v>456227</v>
      </c>
      <c r="I627" s="46">
        <v>537314</v>
      </c>
      <c r="J627">
        <v>-15.09</v>
      </c>
      <c r="K627">
        <v>0</v>
      </c>
    </row>
    <row r="628" spans="1:11" customFormat="1" hidden="1">
      <c r="A628">
        <v>3064</v>
      </c>
      <c r="B628" t="s">
        <v>2402</v>
      </c>
      <c r="C628" s="46">
        <v>7479</v>
      </c>
      <c r="D628" s="46">
        <v>13257</v>
      </c>
      <c r="E628" s="46">
        <v>10270</v>
      </c>
      <c r="F628">
        <v>-43.58</v>
      </c>
      <c r="G628">
        <v>-27.17</v>
      </c>
      <c r="H628" s="46">
        <v>121966</v>
      </c>
      <c r="I628" s="46">
        <v>142890</v>
      </c>
      <c r="J628">
        <v>-14.64</v>
      </c>
      <c r="K628">
        <v>0</v>
      </c>
    </row>
    <row r="629" spans="1:11" customFormat="1" hidden="1">
      <c r="A629" s="288">
        <v>2926</v>
      </c>
      <c r="B629" s="288" t="s">
        <v>1464</v>
      </c>
      <c r="C629" s="46">
        <v>341191</v>
      </c>
      <c r="D629" s="46">
        <v>401784</v>
      </c>
      <c r="E629" s="46">
        <v>273681</v>
      </c>
      <c r="F629">
        <v>-15.08</v>
      </c>
      <c r="G629">
        <v>24.66</v>
      </c>
      <c r="H629" s="46">
        <v>3384326</v>
      </c>
      <c r="I629" s="46">
        <v>3167582</v>
      </c>
      <c r="J629">
        <v>6.84</v>
      </c>
      <c r="K629">
        <v>1</v>
      </c>
    </row>
    <row r="630" spans="1:11" customFormat="1" hidden="1">
      <c r="A630">
        <v>2916</v>
      </c>
      <c r="B630" t="s">
        <v>2393</v>
      </c>
      <c r="C630" s="46">
        <v>158333</v>
      </c>
      <c r="D630" s="46">
        <v>174025</v>
      </c>
      <c r="E630" s="46">
        <v>154286</v>
      </c>
      <c r="F630">
        <v>-9.01</v>
      </c>
      <c r="G630">
        <v>2.62</v>
      </c>
      <c r="H630" s="46">
        <v>1263344</v>
      </c>
      <c r="I630" s="46">
        <v>1216539</v>
      </c>
      <c r="J630">
        <v>3.84</v>
      </c>
      <c r="K630">
        <v>1</v>
      </c>
    </row>
    <row r="631" spans="1:11" customFormat="1" hidden="1">
      <c r="A631">
        <v>2734</v>
      </c>
      <c r="B631" t="s">
        <v>282</v>
      </c>
      <c r="C631" s="46">
        <v>126742</v>
      </c>
      <c r="D631" s="46">
        <v>150063</v>
      </c>
      <c r="E631" s="46">
        <v>99513</v>
      </c>
      <c r="F631">
        <v>-15.54</v>
      </c>
      <c r="G631">
        <v>27.36</v>
      </c>
      <c r="H631" s="46">
        <v>1667793</v>
      </c>
      <c r="I631" s="46">
        <v>1489956</v>
      </c>
      <c r="J631">
        <v>11.93</v>
      </c>
      <c r="K631">
        <v>0</v>
      </c>
    </row>
    <row r="632" spans="1:11" customFormat="1" hidden="1">
      <c r="A632" s="288">
        <v>2732</v>
      </c>
      <c r="B632" s="288" t="s">
        <v>2391</v>
      </c>
      <c r="C632" s="46">
        <v>148767</v>
      </c>
      <c r="D632" s="46">
        <v>151210</v>
      </c>
      <c r="E632" s="46">
        <v>141014</v>
      </c>
      <c r="F632">
        <v>-1.61</v>
      </c>
      <c r="G632">
        <v>5.49</v>
      </c>
      <c r="H632" s="46">
        <v>1484670</v>
      </c>
      <c r="I632" s="46">
        <v>1253311</v>
      </c>
      <c r="J632">
        <v>18.45</v>
      </c>
      <c r="K632">
        <v>1</v>
      </c>
    </row>
    <row r="633" spans="1:11" customFormat="1" hidden="1">
      <c r="A633">
        <v>2729</v>
      </c>
      <c r="B633" t="s">
        <v>2244</v>
      </c>
      <c r="C633" s="46">
        <v>270995</v>
      </c>
      <c r="D633" s="46">
        <v>276436</v>
      </c>
      <c r="E633" s="46">
        <v>226755</v>
      </c>
      <c r="F633">
        <v>-1.96</v>
      </c>
      <c r="G633">
        <v>19.510000000000002</v>
      </c>
      <c r="H633" s="46">
        <v>3155806</v>
      </c>
      <c r="I633" s="46">
        <v>2662135</v>
      </c>
      <c r="J633">
        <v>18.54</v>
      </c>
      <c r="K633">
        <v>0</v>
      </c>
    </row>
    <row r="634" spans="1:11" customFormat="1" hidden="1">
      <c r="A634">
        <v>2719</v>
      </c>
      <c r="B634" t="s">
        <v>281</v>
      </c>
      <c r="C634" s="46">
        <v>170623</v>
      </c>
      <c r="D634" s="46">
        <v>212532</v>
      </c>
      <c r="E634" s="46">
        <v>173690</v>
      </c>
      <c r="F634">
        <v>-19.71</v>
      </c>
      <c r="G634">
        <v>-1.76</v>
      </c>
      <c r="H634" s="46">
        <v>2830835</v>
      </c>
      <c r="I634" s="46">
        <v>2920969</v>
      </c>
      <c r="J634">
        <v>-3.08</v>
      </c>
      <c r="K634">
        <v>0</v>
      </c>
    </row>
    <row r="635" spans="1:11" customFormat="1" hidden="1">
      <c r="A635">
        <v>2718</v>
      </c>
      <c r="B635" t="s">
        <v>1890</v>
      </c>
      <c r="C635" s="46">
        <v>23202</v>
      </c>
      <c r="D635" s="46">
        <v>27944</v>
      </c>
      <c r="E635" s="46">
        <v>23178</v>
      </c>
      <c r="F635">
        <v>-16.96</v>
      </c>
      <c r="G635">
        <v>0.1</v>
      </c>
      <c r="H635" s="46">
        <v>255212</v>
      </c>
      <c r="I635" s="46">
        <v>244006</v>
      </c>
      <c r="J635">
        <v>4.59</v>
      </c>
      <c r="K635">
        <v>0</v>
      </c>
    </row>
    <row r="636" spans="1:11" customFormat="1" hidden="1">
      <c r="A636">
        <v>2641</v>
      </c>
      <c r="B636" t="s">
        <v>2390</v>
      </c>
      <c r="C636" s="46">
        <v>59988</v>
      </c>
      <c r="D636" s="46">
        <v>64571</v>
      </c>
      <c r="E636" s="46">
        <v>71063</v>
      </c>
      <c r="F636">
        <v>-7.09</v>
      </c>
      <c r="G636">
        <v>-15.58</v>
      </c>
      <c r="H636" s="46">
        <v>674691</v>
      </c>
      <c r="I636" s="46">
        <v>632354</v>
      </c>
      <c r="J636">
        <v>6.69</v>
      </c>
      <c r="K636">
        <v>0</v>
      </c>
    </row>
    <row r="637" spans="1:11" customFormat="1" hidden="1">
      <c r="A637" s="288">
        <v>2636</v>
      </c>
      <c r="B637" s="288" t="s">
        <v>2389</v>
      </c>
      <c r="C637" s="46">
        <v>757487</v>
      </c>
      <c r="D637" s="46">
        <v>820558</v>
      </c>
      <c r="E637" s="46">
        <v>909392</v>
      </c>
      <c r="F637">
        <v>-7.68</v>
      </c>
      <c r="G637">
        <v>-16.7</v>
      </c>
      <c r="H637" s="46">
        <v>8958654</v>
      </c>
      <c r="I637" s="46">
        <v>8732531</v>
      </c>
      <c r="J637">
        <v>2.58</v>
      </c>
      <c r="K637">
        <v>0</v>
      </c>
    </row>
    <row r="638" spans="1:11" customFormat="1" hidden="1">
      <c r="A638" s="288">
        <v>2596</v>
      </c>
      <c r="B638" s="288" t="s">
        <v>2386</v>
      </c>
      <c r="C638" s="46">
        <v>895</v>
      </c>
      <c r="D638" s="46">
        <v>201</v>
      </c>
      <c r="E638" s="46">
        <v>14287</v>
      </c>
      <c r="F638">
        <v>345.27</v>
      </c>
      <c r="G638">
        <v>-93.73</v>
      </c>
      <c r="H638" s="46">
        <v>290423</v>
      </c>
      <c r="I638" s="46">
        <v>704212</v>
      </c>
      <c r="J638">
        <v>-58.75</v>
      </c>
      <c r="K638">
        <v>0</v>
      </c>
    </row>
    <row r="639" spans="1:11" customFormat="1" hidden="1">
      <c r="A639">
        <v>2235</v>
      </c>
      <c r="B639" t="s">
        <v>279</v>
      </c>
      <c r="C639" s="46">
        <v>72624</v>
      </c>
      <c r="D639" s="46">
        <v>71924</v>
      </c>
      <c r="E639" s="46">
        <v>70428</v>
      </c>
      <c r="F639">
        <v>0.97</v>
      </c>
      <c r="G639">
        <v>3.11</v>
      </c>
      <c r="H639" s="46">
        <v>803625</v>
      </c>
      <c r="I639" s="46">
        <v>773955</v>
      </c>
      <c r="J639">
        <v>3.83</v>
      </c>
      <c r="K639">
        <v>0</v>
      </c>
    </row>
    <row r="640" spans="1:11" customFormat="1" hidden="1">
      <c r="A640">
        <v>2233</v>
      </c>
      <c r="B640" t="s">
        <v>278</v>
      </c>
      <c r="C640" s="46">
        <v>159475</v>
      </c>
      <c r="D640" s="46">
        <v>168216</v>
      </c>
      <c r="E640" s="46">
        <v>143841</v>
      </c>
      <c r="F640">
        <v>-5.19</v>
      </c>
      <c r="G640">
        <v>10.86</v>
      </c>
      <c r="H640" s="46">
        <v>1776700</v>
      </c>
      <c r="I640" s="46">
        <v>1799020</v>
      </c>
      <c r="J640">
        <v>-1.24</v>
      </c>
      <c r="K640">
        <v>0</v>
      </c>
    </row>
    <row r="641" spans="1:11" customFormat="1" hidden="1">
      <c r="A641" s="288">
        <v>2230</v>
      </c>
      <c r="B641" s="288" t="s">
        <v>277</v>
      </c>
      <c r="C641" s="46">
        <v>22790</v>
      </c>
      <c r="D641" s="46">
        <v>21824</v>
      </c>
      <c r="E641" s="46">
        <v>33144</v>
      </c>
      <c r="F641">
        <v>4.42</v>
      </c>
      <c r="G641">
        <v>-31.23</v>
      </c>
      <c r="H641" s="46">
        <v>323180</v>
      </c>
      <c r="I641" s="46">
        <v>326410</v>
      </c>
      <c r="J641">
        <v>-0.98</v>
      </c>
      <c r="K641">
        <v>0</v>
      </c>
    </row>
    <row r="642" spans="1:11" customFormat="1" hidden="1">
      <c r="A642" s="288">
        <v>2221</v>
      </c>
      <c r="B642" s="288" t="s">
        <v>2395</v>
      </c>
      <c r="C642" s="46">
        <v>88075</v>
      </c>
      <c r="D642" s="46">
        <v>145270</v>
      </c>
      <c r="E642" s="46">
        <v>79892</v>
      </c>
      <c r="F642">
        <v>-39.369999999999997</v>
      </c>
      <c r="G642">
        <v>10.24</v>
      </c>
      <c r="H642" s="46">
        <v>792675</v>
      </c>
      <c r="I642" s="46">
        <v>654075</v>
      </c>
      <c r="J642" s="289">
        <v>21.19</v>
      </c>
      <c r="K642">
        <v>1</v>
      </c>
    </row>
    <row r="643" spans="1:11" customFormat="1" hidden="1">
      <c r="A643">
        <v>2067</v>
      </c>
      <c r="B643" t="s">
        <v>1452</v>
      </c>
      <c r="C643" s="46">
        <v>69958</v>
      </c>
      <c r="D643" s="46">
        <v>66302</v>
      </c>
      <c r="E643" s="46">
        <v>80198</v>
      </c>
      <c r="F643">
        <v>5.51</v>
      </c>
      <c r="G643">
        <v>-12.76</v>
      </c>
      <c r="H643" s="46">
        <v>746762</v>
      </c>
      <c r="I643" s="46">
        <v>1070647</v>
      </c>
      <c r="J643">
        <v>-30.25</v>
      </c>
      <c r="K643">
        <v>0</v>
      </c>
    </row>
    <row r="644" spans="1:11" customFormat="1" hidden="1">
      <c r="A644">
        <v>2066</v>
      </c>
      <c r="B644" t="s">
        <v>276</v>
      </c>
      <c r="C644" s="46">
        <v>90190</v>
      </c>
      <c r="D644" s="46">
        <v>108195</v>
      </c>
      <c r="E644" s="46">
        <v>91636</v>
      </c>
      <c r="F644">
        <v>-16.64</v>
      </c>
      <c r="G644">
        <v>-1.57</v>
      </c>
      <c r="H644" s="46">
        <v>1173848</v>
      </c>
      <c r="I644" s="46">
        <v>1140529</v>
      </c>
      <c r="J644">
        <v>2.92</v>
      </c>
      <c r="K644">
        <v>0</v>
      </c>
    </row>
    <row r="645" spans="1:11" customFormat="1" hidden="1">
      <c r="A645" s="288">
        <v>2064</v>
      </c>
      <c r="B645" s="288" t="s">
        <v>275</v>
      </c>
      <c r="C645" s="46">
        <v>175542</v>
      </c>
      <c r="D645" s="46">
        <v>192689</v>
      </c>
      <c r="E645" s="46">
        <v>219745</v>
      </c>
      <c r="F645">
        <v>-8.89</v>
      </c>
      <c r="G645">
        <v>-20.11</v>
      </c>
      <c r="H645" s="46">
        <v>2132639</v>
      </c>
      <c r="I645" s="46">
        <v>2566511</v>
      </c>
      <c r="J645">
        <v>-16.899999999999999</v>
      </c>
      <c r="K645">
        <v>0</v>
      </c>
    </row>
    <row r="646" spans="1:11" customFormat="1" hidden="1">
      <c r="A646">
        <v>2063</v>
      </c>
      <c r="B646" t="s">
        <v>274</v>
      </c>
      <c r="C646" s="46">
        <v>49387</v>
      </c>
      <c r="D646" s="46">
        <v>64692</v>
      </c>
      <c r="E646" s="46">
        <v>39841</v>
      </c>
      <c r="F646">
        <v>-23.65</v>
      </c>
      <c r="G646">
        <v>23.96</v>
      </c>
      <c r="H646" s="46">
        <v>598955</v>
      </c>
      <c r="I646" s="46">
        <v>639467</v>
      </c>
      <c r="J646">
        <v>-6.33</v>
      </c>
      <c r="K646">
        <v>0</v>
      </c>
    </row>
    <row r="647" spans="1:11" customFormat="1" hidden="1">
      <c r="A647" s="288">
        <v>2061</v>
      </c>
      <c r="B647" s="288" t="s">
        <v>273</v>
      </c>
      <c r="C647" s="46">
        <v>93859</v>
      </c>
      <c r="D647" s="46">
        <v>100925</v>
      </c>
      <c r="E647" s="46">
        <v>107665</v>
      </c>
      <c r="F647">
        <v>-7</v>
      </c>
      <c r="G647">
        <v>-12.82</v>
      </c>
      <c r="H647" s="46">
        <v>1002345</v>
      </c>
      <c r="I647" s="46">
        <v>1179216</v>
      </c>
      <c r="J647">
        <v>-14.99</v>
      </c>
      <c r="K647">
        <v>0</v>
      </c>
    </row>
    <row r="648" spans="1:11" customFormat="1" hidden="1">
      <c r="A648" s="288">
        <v>2035</v>
      </c>
      <c r="B648" s="288" t="s">
        <v>2113</v>
      </c>
      <c r="C648" s="46">
        <v>1045182</v>
      </c>
      <c r="D648" s="46">
        <v>1089319</v>
      </c>
      <c r="E648" s="46">
        <v>1246070</v>
      </c>
      <c r="F648">
        <v>-4.05</v>
      </c>
      <c r="G648">
        <v>-16.12</v>
      </c>
      <c r="H648" s="46">
        <v>13940672</v>
      </c>
      <c r="I648" s="46">
        <v>19495435</v>
      </c>
      <c r="J648">
        <v>-28.49</v>
      </c>
      <c r="K648">
        <v>0</v>
      </c>
    </row>
    <row r="649" spans="1:11" customFormat="1" hidden="1">
      <c r="A649">
        <v>1815</v>
      </c>
      <c r="B649" t="s">
        <v>2179</v>
      </c>
      <c r="C649" s="46">
        <v>382379</v>
      </c>
      <c r="D649" s="46">
        <v>404993</v>
      </c>
      <c r="E649" s="46">
        <v>352123</v>
      </c>
      <c r="F649">
        <v>-5.58</v>
      </c>
      <c r="G649">
        <v>8.59</v>
      </c>
      <c r="H649" s="46">
        <v>4480646</v>
      </c>
      <c r="I649" s="46">
        <v>4229298</v>
      </c>
      <c r="J649">
        <v>5.94</v>
      </c>
      <c r="K649">
        <v>0</v>
      </c>
    </row>
    <row r="650" spans="1:11" customFormat="1" hidden="1">
      <c r="A650">
        <v>1813</v>
      </c>
      <c r="B650" t="s">
        <v>272</v>
      </c>
      <c r="C650" s="46">
        <v>29593</v>
      </c>
      <c r="D650" s="46">
        <v>34389</v>
      </c>
      <c r="E650" s="46">
        <v>27227</v>
      </c>
      <c r="F650">
        <v>-13.94</v>
      </c>
      <c r="G650">
        <v>8.68</v>
      </c>
      <c r="H650" s="46">
        <v>367755</v>
      </c>
      <c r="I650" s="46">
        <v>347629</v>
      </c>
      <c r="J650">
        <v>5.78</v>
      </c>
      <c r="K650">
        <v>0</v>
      </c>
    </row>
    <row r="651" spans="1:11" customFormat="1">
      <c r="A651" s="288" t="str">
        <f>HYPERLINK("http://tw.stock.yahoo.com/q/ta?s=3379","3379")</f>
        <v>3379</v>
      </c>
      <c r="B651" s="288" t="str">
        <f>HYPERLINK("http://tw.stock.yahoo.com/d/s/earning_3379.html","彬台科技")</f>
        <v>彬台科技</v>
      </c>
      <c r="C651" s="46">
        <v>142415</v>
      </c>
      <c r="D651" s="46">
        <v>71276</v>
      </c>
      <c r="E651" s="46">
        <v>69571</v>
      </c>
      <c r="F651">
        <v>99.8</v>
      </c>
      <c r="G651">
        <v>104.7</v>
      </c>
      <c r="H651" s="46">
        <v>1033705</v>
      </c>
      <c r="I651" s="46">
        <v>851672</v>
      </c>
      <c r="J651">
        <v>21.37</v>
      </c>
      <c r="K651">
        <v>1</v>
      </c>
    </row>
    <row r="652" spans="1:11" customFormat="1" hidden="1">
      <c r="A652">
        <v>1788</v>
      </c>
      <c r="B652" t="s">
        <v>2097</v>
      </c>
      <c r="C652" s="46">
        <v>223950</v>
      </c>
      <c r="D652" s="46">
        <v>242047</v>
      </c>
      <c r="E652" s="46">
        <v>210532</v>
      </c>
      <c r="F652">
        <v>-7.47</v>
      </c>
      <c r="G652">
        <v>6.37</v>
      </c>
      <c r="H652" s="46">
        <v>2460261</v>
      </c>
      <c r="I652" s="46">
        <v>2429446</v>
      </c>
      <c r="J652">
        <v>1.26</v>
      </c>
      <c r="K652">
        <v>0</v>
      </c>
    </row>
    <row r="653" spans="1:11" customFormat="1" hidden="1">
      <c r="A653">
        <v>1787</v>
      </c>
      <c r="B653" t="s">
        <v>270</v>
      </c>
      <c r="C653" s="46">
        <v>121986</v>
      </c>
      <c r="D653" s="46">
        <v>126890</v>
      </c>
      <c r="E653" s="46">
        <v>111194</v>
      </c>
      <c r="F653">
        <v>-3.86</v>
      </c>
      <c r="G653">
        <v>9.6999999999999993</v>
      </c>
      <c r="H653" s="46">
        <v>1337585</v>
      </c>
      <c r="I653" s="46">
        <v>1256800</v>
      </c>
      <c r="J653">
        <v>6.42</v>
      </c>
      <c r="K653">
        <v>0</v>
      </c>
    </row>
    <row r="654" spans="1:11" customFormat="1" hidden="1">
      <c r="A654">
        <v>1785</v>
      </c>
      <c r="B654" t="s">
        <v>1447</v>
      </c>
      <c r="C654" s="46">
        <v>3914574</v>
      </c>
      <c r="D654" s="46">
        <v>2798014</v>
      </c>
      <c r="E654" s="46">
        <v>4422633</v>
      </c>
      <c r="F654">
        <v>39.9</v>
      </c>
      <c r="G654">
        <v>-11.48</v>
      </c>
      <c r="H654" s="46">
        <v>57897522</v>
      </c>
      <c r="I654" s="46">
        <v>45455539</v>
      </c>
      <c r="J654">
        <v>27.37</v>
      </c>
      <c r="K654">
        <v>0</v>
      </c>
    </row>
    <row r="655" spans="1:11" customFormat="1" hidden="1">
      <c r="A655">
        <v>1784</v>
      </c>
      <c r="B655" t="s">
        <v>2277</v>
      </c>
      <c r="C655" s="46">
        <v>53424</v>
      </c>
      <c r="D655" s="46">
        <v>58641</v>
      </c>
      <c r="E655" s="46">
        <v>48279</v>
      </c>
      <c r="F655">
        <v>-8.89</v>
      </c>
      <c r="G655">
        <v>10.65</v>
      </c>
      <c r="H655" s="46">
        <v>581365</v>
      </c>
      <c r="I655" s="46">
        <v>574689</v>
      </c>
      <c r="J655">
        <v>1.1599999999999999</v>
      </c>
      <c r="K655">
        <v>0</v>
      </c>
    </row>
    <row r="656" spans="1:11" customFormat="1" hidden="1">
      <c r="A656">
        <v>1781</v>
      </c>
      <c r="B656" t="s">
        <v>2096</v>
      </c>
      <c r="C656" s="46">
        <v>30407</v>
      </c>
      <c r="D656" s="46">
        <v>39526</v>
      </c>
      <c r="E656" s="46">
        <v>47790</v>
      </c>
      <c r="F656">
        <v>-23.07</v>
      </c>
      <c r="G656">
        <v>-36.369999999999997</v>
      </c>
      <c r="H656" s="46">
        <v>638176</v>
      </c>
      <c r="I656" s="46">
        <v>581668</v>
      </c>
      <c r="J656">
        <v>9.7100000000000009</v>
      </c>
      <c r="K656">
        <v>0</v>
      </c>
    </row>
    <row r="657" spans="1:11" customFormat="1" hidden="1">
      <c r="A657" s="288">
        <v>1777</v>
      </c>
      <c r="B657" s="288" t="s">
        <v>269</v>
      </c>
      <c r="C657" s="46">
        <v>67121</v>
      </c>
      <c r="D657" s="46">
        <v>54326</v>
      </c>
      <c r="E657" s="46">
        <v>48558</v>
      </c>
      <c r="F657">
        <v>23.55</v>
      </c>
      <c r="G657">
        <v>38.22</v>
      </c>
      <c r="H657" s="46">
        <v>624599</v>
      </c>
      <c r="I657" s="46">
        <v>560216</v>
      </c>
      <c r="J657">
        <v>11.49</v>
      </c>
      <c r="K657">
        <v>1</v>
      </c>
    </row>
    <row r="658" spans="1:11" customFormat="1" hidden="1">
      <c r="A658" s="288">
        <v>1752</v>
      </c>
      <c r="B658" s="288" t="s">
        <v>268</v>
      </c>
      <c r="C658" s="46">
        <v>142298</v>
      </c>
      <c r="D658" s="46">
        <v>131672</v>
      </c>
      <c r="E658" s="46">
        <v>127993</v>
      </c>
      <c r="F658">
        <v>8.07</v>
      </c>
      <c r="G658">
        <v>11.17</v>
      </c>
      <c r="H658" s="46">
        <v>1383162</v>
      </c>
      <c r="I658" s="46">
        <v>1165279</v>
      </c>
      <c r="J658">
        <v>18.690000000000001</v>
      </c>
      <c r="K658">
        <v>1</v>
      </c>
    </row>
    <row r="659" spans="1:11" customFormat="1" hidden="1">
      <c r="A659" s="288">
        <v>1742</v>
      </c>
      <c r="B659" s="288" t="s">
        <v>537</v>
      </c>
      <c r="C659" s="46">
        <v>72979</v>
      </c>
      <c r="D659" s="46">
        <v>48202</v>
      </c>
      <c r="E659" s="46">
        <v>44177</v>
      </c>
      <c r="F659">
        <v>51.4</v>
      </c>
      <c r="G659">
        <v>65.19</v>
      </c>
      <c r="H659" s="46">
        <v>599967</v>
      </c>
      <c r="I659" s="46">
        <v>1082835</v>
      </c>
      <c r="J659">
        <v>-44.59</v>
      </c>
      <c r="K659">
        <v>1</v>
      </c>
    </row>
    <row r="660" spans="1:11" customFormat="1" hidden="1">
      <c r="A660" s="288">
        <v>1599</v>
      </c>
      <c r="B660" s="288" t="s">
        <v>1444</v>
      </c>
      <c r="C660" s="46">
        <v>134428</v>
      </c>
      <c r="D660" s="46">
        <v>417918</v>
      </c>
      <c r="E660" s="46">
        <v>233527</v>
      </c>
      <c r="F660">
        <v>-67.83</v>
      </c>
      <c r="G660">
        <v>-42.43</v>
      </c>
      <c r="H660" s="46">
        <v>2641909</v>
      </c>
      <c r="I660" s="46">
        <v>2305285</v>
      </c>
      <c r="J660">
        <v>14.6</v>
      </c>
      <c r="K660">
        <v>0</v>
      </c>
    </row>
    <row r="661" spans="1:11" customFormat="1" hidden="1">
      <c r="A661">
        <v>1597</v>
      </c>
      <c r="B661" t="s">
        <v>267</v>
      </c>
      <c r="C661" s="46">
        <v>72196</v>
      </c>
      <c r="D661" s="46">
        <v>73239</v>
      </c>
      <c r="E661" s="46">
        <v>74792</v>
      </c>
      <c r="F661">
        <v>-1.42</v>
      </c>
      <c r="G661">
        <v>-3.47</v>
      </c>
      <c r="H661" s="46">
        <v>911908</v>
      </c>
      <c r="I661" s="46">
        <v>925077</v>
      </c>
      <c r="J661">
        <v>-1.42</v>
      </c>
      <c r="K661">
        <v>0</v>
      </c>
    </row>
    <row r="662" spans="1:11" customFormat="1" hidden="1">
      <c r="A662">
        <v>1595</v>
      </c>
      <c r="B662" t="s">
        <v>2178</v>
      </c>
      <c r="C662" s="46">
        <v>44989</v>
      </c>
      <c r="D662" s="46">
        <v>39936</v>
      </c>
      <c r="E662" s="46">
        <v>79801</v>
      </c>
      <c r="F662">
        <v>12.65</v>
      </c>
      <c r="G662">
        <v>-43.62</v>
      </c>
      <c r="H662" s="46">
        <v>1030561</v>
      </c>
      <c r="I662" s="46">
        <v>1249872</v>
      </c>
      <c r="J662">
        <v>-17.54</v>
      </c>
      <c r="K662">
        <v>0</v>
      </c>
    </row>
    <row r="663" spans="1:11" customFormat="1" hidden="1">
      <c r="A663">
        <v>1593</v>
      </c>
      <c r="B663" t="s">
        <v>266</v>
      </c>
      <c r="C663" s="46">
        <v>80259</v>
      </c>
      <c r="D663" s="46">
        <v>74384</v>
      </c>
      <c r="E663" s="46">
        <v>79495</v>
      </c>
      <c r="F663">
        <v>7.89</v>
      </c>
      <c r="G663">
        <v>0.96</v>
      </c>
      <c r="H663" s="46">
        <v>777204</v>
      </c>
      <c r="I663" s="46">
        <v>826221</v>
      </c>
      <c r="J663">
        <v>-5.93</v>
      </c>
      <c r="K663">
        <v>1</v>
      </c>
    </row>
    <row r="664" spans="1:11" customFormat="1" hidden="1">
      <c r="A664">
        <v>1586</v>
      </c>
      <c r="B664" t="s">
        <v>2080</v>
      </c>
      <c r="C664" s="46">
        <v>165994</v>
      </c>
      <c r="D664" s="46">
        <v>141730</v>
      </c>
      <c r="E664" s="46">
        <v>150629</v>
      </c>
      <c r="F664">
        <v>17.11</v>
      </c>
      <c r="G664">
        <v>10.199999999999999</v>
      </c>
      <c r="H664" s="46">
        <v>1510123</v>
      </c>
      <c r="I664" s="46">
        <v>1516250</v>
      </c>
      <c r="J664">
        <v>-0.4</v>
      </c>
      <c r="K664">
        <v>1</v>
      </c>
    </row>
    <row r="665" spans="1:11" customFormat="1" hidden="1">
      <c r="A665">
        <v>1584</v>
      </c>
      <c r="B665" t="s">
        <v>2252</v>
      </c>
      <c r="C665" s="46">
        <v>65507</v>
      </c>
      <c r="D665" s="46">
        <v>43143</v>
      </c>
      <c r="E665" s="46">
        <v>91949</v>
      </c>
      <c r="F665">
        <v>51.83</v>
      </c>
      <c r="G665">
        <v>-28.75</v>
      </c>
      <c r="H665" s="46">
        <v>927328</v>
      </c>
      <c r="I665" s="46">
        <v>1014900</v>
      </c>
      <c r="J665">
        <v>-8.6199999999999992</v>
      </c>
      <c r="K665">
        <v>0</v>
      </c>
    </row>
    <row r="666" spans="1:11" customFormat="1" hidden="1">
      <c r="A666">
        <v>1580</v>
      </c>
      <c r="B666" t="s">
        <v>2079</v>
      </c>
      <c r="C666" s="46">
        <v>441830</v>
      </c>
      <c r="D666" s="46">
        <v>320784</v>
      </c>
      <c r="E666" s="46">
        <v>433177</v>
      </c>
      <c r="F666">
        <v>37.729999999999997</v>
      </c>
      <c r="G666">
        <v>1.99</v>
      </c>
      <c r="H666" s="46">
        <v>3685078</v>
      </c>
      <c r="I666" s="46">
        <v>3834375</v>
      </c>
      <c r="J666">
        <v>-3.89</v>
      </c>
      <c r="K666">
        <v>1</v>
      </c>
    </row>
    <row r="667" spans="1:11" customFormat="1" hidden="1">
      <c r="A667" s="288">
        <v>1570</v>
      </c>
      <c r="B667" s="288" t="s">
        <v>2270</v>
      </c>
      <c r="C667" s="46">
        <v>34498</v>
      </c>
      <c r="D667" s="46">
        <v>68644</v>
      </c>
      <c r="E667" s="46">
        <v>38682</v>
      </c>
      <c r="F667">
        <v>-49.74</v>
      </c>
      <c r="G667">
        <v>-10.81</v>
      </c>
      <c r="H667" s="46">
        <v>653368</v>
      </c>
      <c r="I667" s="46">
        <v>492344</v>
      </c>
      <c r="J667">
        <v>32.700000000000003</v>
      </c>
      <c r="K667">
        <v>0</v>
      </c>
    </row>
    <row r="668" spans="1:11" customFormat="1" hidden="1">
      <c r="A668">
        <v>1569</v>
      </c>
      <c r="B668" t="s">
        <v>265</v>
      </c>
      <c r="C668" s="46">
        <v>253733</v>
      </c>
      <c r="D668" s="46">
        <v>221920</v>
      </c>
      <c r="E668" s="46">
        <v>255937</v>
      </c>
      <c r="F668">
        <v>14.33</v>
      </c>
      <c r="G668">
        <v>-0.86</v>
      </c>
      <c r="H668" s="46">
        <v>2154897</v>
      </c>
      <c r="I668" s="46">
        <v>2384475</v>
      </c>
      <c r="J668">
        <v>-9.6199999999999992</v>
      </c>
      <c r="K668">
        <v>1</v>
      </c>
    </row>
    <row r="669" spans="1:11" customFormat="1" hidden="1">
      <c r="A669">
        <v>1566</v>
      </c>
      <c r="B669" t="s">
        <v>264</v>
      </c>
      <c r="C669" s="46">
        <v>430656</v>
      </c>
      <c r="D669" s="46">
        <v>466637</v>
      </c>
      <c r="E669" s="46">
        <v>152247</v>
      </c>
      <c r="F669">
        <v>-7.71</v>
      </c>
      <c r="G669">
        <v>182.86</v>
      </c>
      <c r="H669" s="46">
        <v>3979284</v>
      </c>
      <c r="I669" s="46">
        <v>1729019</v>
      </c>
      <c r="J669">
        <v>130.13999999999999</v>
      </c>
      <c r="K669">
        <v>1</v>
      </c>
    </row>
    <row r="670" spans="1:11" customFormat="1" hidden="1">
      <c r="A670">
        <v>1565</v>
      </c>
      <c r="B670" t="s">
        <v>2095</v>
      </c>
      <c r="C670" s="46">
        <v>533225</v>
      </c>
      <c r="D670" s="46">
        <v>546170</v>
      </c>
      <c r="E670" s="46">
        <v>453247</v>
      </c>
      <c r="F670">
        <v>-2.37</v>
      </c>
      <c r="G670">
        <v>17.64</v>
      </c>
      <c r="H670" s="46">
        <v>5304811</v>
      </c>
      <c r="I670" s="46">
        <v>4959776</v>
      </c>
      <c r="J670">
        <v>6.95</v>
      </c>
      <c r="K670">
        <v>1</v>
      </c>
    </row>
    <row r="671" spans="1:11" customFormat="1" hidden="1">
      <c r="A671" s="288">
        <v>1336</v>
      </c>
      <c r="B671" s="288" t="s">
        <v>263</v>
      </c>
      <c r="C671" s="46">
        <v>196164</v>
      </c>
      <c r="D671" s="46">
        <v>211943</v>
      </c>
      <c r="E671" s="46">
        <v>152673</v>
      </c>
      <c r="F671">
        <v>-7.44</v>
      </c>
      <c r="G671">
        <v>28.48</v>
      </c>
      <c r="H671" s="46">
        <v>1634521</v>
      </c>
      <c r="I671" s="46">
        <v>1907239</v>
      </c>
      <c r="J671">
        <v>-14.29</v>
      </c>
      <c r="K671">
        <v>1</v>
      </c>
    </row>
    <row r="672" spans="1:11" customFormat="1" hidden="1">
      <c r="A672">
        <v>1333</v>
      </c>
      <c r="B672" t="s">
        <v>262</v>
      </c>
      <c r="C672" s="46">
        <v>57920</v>
      </c>
      <c r="D672" s="46">
        <v>62751</v>
      </c>
      <c r="E672" s="46">
        <v>92203</v>
      </c>
      <c r="F672">
        <v>-7.69</v>
      </c>
      <c r="G672">
        <v>-37.18</v>
      </c>
      <c r="H672" s="46">
        <v>780296</v>
      </c>
      <c r="I672" s="46">
        <v>1061081</v>
      </c>
      <c r="J672">
        <v>-26.46</v>
      </c>
      <c r="K672">
        <v>0</v>
      </c>
    </row>
    <row r="673" spans="1:11" customFormat="1" hidden="1">
      <c r="A673">
        <v>1264</v>
      </c>
      <c r="B673" t="s">
        <v>261</v>
      </c>
      <c r="C673" s="46">
        <v>334169</v>
      </c>
      <c r="D673" s="46">
        <v>312206</v>
      </c>
      <c r="E673" s="46">
        <v>301906</v>
      </c>
      <c r="F673">
        <v>7.03</v>
      </c>
      <c r="G673">
        <v>10.68</v>
      </c>
      <c r="H673" s="46">
        <v>3484944</v>
      </c>
      <c r="I673" s="46">
        <v>3102407</v>
      </c>
      <c r="J673">
        <v>12.33</v>
      </c>
      <c r="K673">
        <v>1</v>
      </c>
    </row>
    <row r="674" spans="1:11" customFormat="1" hidden="1">
      <c r="A674" s="288">
        <v>1259</v>
      </c>
      <c r="B674" s="288" t="s">
        <v>260</v>
      </c>
      <c r="C674" s="46">
        <v>350619</v>
      </c>
      <c r="D674" s="46">
        <v>371676</v>
      </c>
      <c r="E674" s="46">
        <v>324876</v>
      </c>
      <c r="F674">
        <v>-5.66</v>
      </c>
      <c r="G674">
        <v>7.92</v>
      </c>
      <c r="H674" s="46">
        <v>4065419</v>
      </c>
      <c r="I674" s="46">
        <v>3923943</v>
      </c>
      <c r="J674">
        <v>3.6</v>
      </c>
      <c r="K674">
        <v>0</v>
      </c>
    </row>
    <row r="675" spans="1:11" customFormat="1" hidden="1">
      <c r="C675" s="46"/>
      <c r="D675" s="46"/>
      <c r="E675" s="46"/>
      <c r="H675" s="46"/>
      <c r="I675" s="46"/>
    </row>
    <row r="676" spans="1:11" customFormat="1" hidden="1">
      <c r="C676" s="46" t="s">
        <v>1916</v>
      </c>
      <c r="D676" s="46"/>
      <c r="E676" s="46"/>
      <c r="H676" s="46" t="s">
        <v>1917</v>
      </c>
      <c r="I676" s="46"/>
      <c r="K676" t="s">
        <v>1918</v>
      </c>
    </row>
    <row r="677" spans="1:11" customFormat="1" hidden="1">
      <c r="A677" s="187" t="str">
        <f>HYPERLINK("http://tw.stock.yahoo.com/q/ta?s=","")</f>
        <v/>
      </c>
      <c r="B677" s="187" t="str">
        <f>HYPERLINK("http://tw.stock.yahoo.com/d/s/earning_.html","")</f>
        <v/>
      </c>
      <c r="C677" s="27"/>
      <c r="D677" s="27"/>
      <c r="E677" s="27"/>
      <c r="F677" s="27"/>
      <c r="G677" s="27"/>
      <c r="H677" s="27"/>
      <c r="I677" s="27"/>
      <c r="J677" s="27"/>
      <c r="K677" s="200"/>
    </row>
    <row r="678" spans="1:11" customFormat="1" hidden="1"/>
    <row r="679" spans="1:11" customFormat="1" hidden="1"/>
    <row r="680" spans="1:11" customFormat="1" hidden="1"/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87" t="str">
        <f t="shared" ref="A5001:A5022" si="0">HYPERLINK("http://tw.stock.yahoo.com/q/ta?s=","")</f>
        <v/>
      </c>
      <c r="B5001" s="187" t="str">
        <f t="shared" ref="B5001:B5018" si="1">HYPERLINK("http://tw.stock.yahoo.com/d/s/earning_.html","")</f>
        <v/>
      </c>
    </row>
    <row r="5002" spans="1:2" hidden="1">
      <c r="A5002" s="187" t="str">
        <f t="shared" si="0"/>
        <v/>
      </c>
      <c r="B5002" s="187" t="str">
        <f t="shared" si="1"/>
        <v/>
      </c>
    </row>
    <row r="5003" spans="1:2" hidden="1">
      <c r="A5003" s="187" t="str">
        <f t="shared" si="0"/>
        <v/>
      </c>
      <c r="B5003" s="187" t="str">
        <f t="shared" si="1"/>
        <v/>
      </c>
    </row>
    <row r="5004" spans="1:2" hidden="1">
      <c r="A5004" s="187" t="str">
        <f t="shared" si="0"/>
        <v/>
      </c>
      <c r="B5004" s="187" t="str">
        <f t="shared" si="1"/>
        <v/>
      </c>
    </row>
    <row r="5005" spans="1:2" hidden="1">
      <c r="A5005" s="187" t="str">
        <f t="shared" si="0"/>
        <v/>
      </c>
      <c r="B5005" s="187" t="str">
        <f t="shared" si="1"/>
        <v/>
      </c>
    </row>
    <row r="5006" spans="1:2" hidden="1">
      <c r="A5006" s="187" t="str">
        <f t="shared" si="0"/>
        <v/>
      </c>
      <c r="B5006" s="187" t="str">
        <f t="shared" si="1"/>
        <v/>
      </c>
    </row>
    <row r="5007" spans="1:2" hidden="1">
      <c r="A5007" s="187" t="str">
        <f t="shared" si="0"/>
        <v/>
      </c>
      <c r="B5007" s="187" t="str">
        <f t="shared" si="1"/>
        <v/>
      </c>
    </row>
    <row r="5008" spans="1:2" hidden="1">
      <c r="A5008" s="187" t="str">
        <f t="shared" si="0"/>
        <v/>
      </c>
      <c r="B5008" s="187" t="str">
        <f t="shared" si="1"/>
        <v/>
      </c>
    </row>
    <row r="5009" spans="1:2" hidden="1">
      <c r="A5009" s="187" t="str">
        <f t="shared" si="0"/>
        <v/>
      </c>
      <c r="B5009" s="187" t="str">
        <f t="shared" si="1"/>
        <v/>
      </c>
    </row>
    <row r="5010" spans="1:2" hidden="1">
      <c r="A5010" s="187" t="str">
        <f t="shared" si="0"/>
        <v/>
      </c>
      <c r="B5010" s="187" t="str">
        <f t="shared" si="1"/>
        <v/>
      </c>
    </row>
    <row r="5011" spans="1:2" hidden="1">
      <c r="A5011" s="187" t="str">
        <f t="shared" si="0"/>
        <v/>
      </c>
      <c r="B5011" s="187" t="str">
        <f t="shared" si="1"/>
        <v/>
      </c>
    </row>
    <row r="5012" spans="1:2" hidden="1">
      <c r="A5012" s="187" t="str">
        <f t="shared" si="0"/>
        <v/>
      </c>
      <c r="B5012" s="187" t="str">
        <f t="shared" si="1"/>
        <v/>
      </c>
    </row>
    <row r="5013" spans="1:2" hidden="1">
      <c r="A5013" s="187" t="str">
        <f t="shared" si="0"/>
        <v/>
      </c>
      <c r="B5013" s="187" t="str">
        <f t="shared" si="1"/>
        <v/>
      </c>
    </row>
    <row r="5014" spans="1:2" hidden="1">
      <c r="A5014" s="187" t="str">
        <f t="shared" si="0"/>
        <v/>
      </c>
      <c r="B5014" s="187" t="str">
        <f t="shared" si="1"/>
        <v/>
      </c>
    </row>
    <row r="5015" spans="1:2" hidden="1">
      <c r="A5015" s="187" t="str">
        <f t="shared" si="0"/>
        <v/>
      </c>
      <c r="B5015" s="187" t="str">
        <f t="shared" si="1"/>
        <v/>
      </c>
    </row>
    <row r="5016" spans="1:2" hidden="1">
      <c r="A5016" s="187" t="str">
        <f t="shared" si="0"/>
        <v/>
      </c>
      <c r="B5016" s="187" t="str">
        <f t="shared" si="1"/>
        <v/>
      </c>
    </row>
    <row r="5017" spans="1:2" hidden="1">
      <c r="A5017" s="187" t="str">
        <f t="shared" si="0"/>
        <v/>
      </c>
      <c r="B5017" s="187" t="str">
        <f t="shared" si="1"/>
        <v/>
      </c>
    </row>
    <row r="5018" spans="1:2" hidden="1">
      <c r="A5018" s="187" t="str">
        <f t="shared" si="0"/>
        <v/>
      </c>
      <c r="B5018" s="187" t="str">
        <f t="shared" si="1"/>
        <v/>
      </c>
    </row>
    <row r="5019" spans="1:2" hidden="1">
      <c r="A5019" s="187" t="str">
        <f t="shared" si="0"/>
        <v/>
      </c>
    </row>
    <row r="5020" spans="1:2" hidden="1">
      <c r="A5020" s="187" t="str">
        <f t="shared" si="0"/>
        <v/>
      </c>
      <c r="B5020" s="187" t="str">
        <f t="shared" ref="B5020:B5083" si="2">HYPERLINK("http://tw.stock.yahoo.com/d/s/earning_.html","")</f>
        <v/>
      </c>
    </row>
    <row r="5021" spans="1:2" hidden="1">
      <c r="A5021" s="187" t="str">
        <f t="shared" si="0"/>
        <v/>
      </c>
      <c r="B5021" s="187" t="str">
        <f t="shared" si="2"/>
        <v/>
      </c>
    </row>
    <row r="5022" spans="1:2" hidden="1">
      <c r="A5022" s="187" t="str">
        <f t="shared" si="0"/>
        <v/>
      </c>
      <c r="B5022" s="187" t="str">
        <f t="shared" si="2"/>
        <v/>
      </c>
    </row>
    <row r="5023" spans="1:2" hidden="1">
      <c r="A5023" s="187" t="str">
        <f t="shared" ref="A5023:A5086" si="3">HYPERLINK("http://tw.stock.yahoo.com/q/ta?s=","")</f>
        <v/>
      </c>
      <c r="B5023" s="187" t="str">
        <f t="shared" si="2"/>
        <v/>
      </c>
    </row>
    <row r="5024" spans="1:2" hidden="1">
      <c r="A5024" s="187" t="str">
        <f t="shared" si="3"/>
        <v/>
      </c>
      <c r="B5024" s="187" t="str">
        <f t="shared" si="2"/>
        <v/>
      </c>
    </row>
    <row r="5025" spans="1:2" hidden="1">
      <c r="A5025" s="187" t="str">
        <f t="shared" si="3"/>
        <v/>
      </c>
      <c r="B5025" s="187" t="str">
        <f t="shared" si="2"/>
        <v/>
      </c>
    </row>
    <row r="5026" spans="1:2" hidden="1">
      <c r="A5026" s="187" t="str">
        <f t="shared" si="3"/>
        <v/>
      </c>
      <c r="B5026" s="187" t="str">
        <f t="shared" si="2"/>
        <v/>
      </c>
    </row>
    <row r="5027" spans="1:2" hidden="1">
      <c r="A5027" s="187" t="str">
        <f t="shared" si="3"/>
        <v/>
      </c>
      <c r="B5027" s="187" t="str">
        <f t="shared" si="2"/>
        <v/>
      </c>
    </row>
    <row r="5028" spans="1:2" hidden="1">
      <c r="A5028" s="187" t="str">
        <f t="shared" si="3"/>
        <v/>
      </c>
      <c r="B5028" s="187" t="str">
        <f t="shared" si="2"/>
        <v/>
      </c>
    </row>
    <row r="5029" spans="1:2" hidden="1">
      <c r="A5029" s="187" t="str">
        <f t="shared" si="3"/>
        <v/>
      </c>
      <c r="B5029" s="187" t="str">
        <f t="shared" si="2"/>
        <v/>
      </c>
    </row>
    <row r="5030" spans="1:2" hidden="1">
      <c r="A5030" s="187" t="str">
        <f t="shared" si="3"/>
        <v/>
      </c>
      <c r="B5030" s="187" t="str">
        <f t="shared" si="2"/>
        <v/>
      </c>
    </row>
    <row r="5031" spans="1:2" hidden="1">
      <c r="A5031" s="187" t="str">
        <f t="shared" si="3"/>
        <v/>
      </c>
      <c r="B5031" s="187" t="str">
        <f t="shared" si="2"/>
        <v/>
      </c>
    </row>
    <row r="5032" spans="1:2" hidden="1">
      <c r="A5032" s="187" t="str">
        <f t="shared" si="3"/>
        <v/>
      </c>
      <c r="B5032" s="187" t="str">
        <f t="shared" si="2"/>
        <v/>
      </c>
    </row>
    <row r="5033" spans="1:2" hidden="1">
      <c r="A5033" s="187" t="str">
        <f t="shared" si="3"/>
        <v/>
      </c>
      <c r="B5033" s="187" t="str">
        <f t="shared" si="2"/>
        <v/>
      </c>
    </row>
    <row r="5034" spans="1:2" hidden="1">
      <c r="A5034" s="187" t="str">
        <f t="shared" si="3"/>
        <v/>
      </c>
      <c r="B5034" s="187" t="str">
        <f t="shared" si="2"/>
        <v/>
      </c>
    </row>
    <row r="5035" spans="1:2" hidden="1">
      <c r="A5035" s="187" t="str">
        <f t="shared" si="3"/>
        <v/>
      </c>
      <c r="B5035" s="187" t="str">
        <f t="shared" si="2"/>
        <v/>
      </c>
    </row>
    <row r="5036" spans="1:2" hidden="1">
      <c r="A5036" s="187" t="str">
        <f t="shared" si="3"/>
        <v/>
      </c>
      <c r="B5036" s="187" t="str">
        <f t="shared" si="2"/>
        <v/>
      </c>
    </row>
    <row r="5037" spans="1:2" hidden="1">
      <c r="A5037" s="187" t="str">
        <f t="shared" si="3"/>
        <v/>
      </c>
      <c r="B5037" s="187" t="str">
        <f t="shared" si="2"/>
        <v/>
      </c>
    </row>
    <row r="5038" spans="1:2" hidden="1">
      <c r="A5038" s="187" t="str">
        <f t="shared" si="3"/>
        <v/>
      </c>
      <c r="B5038" s="187" t="str">
        <f t="shared" si="2"/>
        <v/>
      </c>
    </row>
    <row r="5039" spans="1:2" hidden="1">
      <c r="A5039" s="187" t="str">
        <f t="shared" si="3"/>
        <v/>
      </c>
      <c r="B5039" s="187" t="str">
        <f t="shared" si="2"/>
        <v/>
      </c>
    </row>
    <row r="5040" spans="1:2" hidden="1">
      <c r="A5040" s="187" t="str">
        <f t="shared" si="3"/>
        <v/>
      </c>
      <c r="B5040" s="187" t="str">
        <f t="shared" si="2"/>
        <v/>
      </c>
    </row>
    <row r="5041" spans="1:2" hidden="1">
      <c r="A5041" s="187" t="str">
        <f t="shared" si="3"/>
        <v/>
      </c>
      <c r="B5041" s="187" t="str">
        <f t="shared" si="2"/>
        <v/>
      </c>
    </row>
    <row r="5042" spans="1:2" hidden="1">
      <c r="A5042" s="187" t="str">
        <f t="shared" si="3"/>
        <v/>
      </c>
      <c r="B5042" s="187" t="str">
        <f t="shared" si="2"/>
        <v/>
      </c>
    </row>
    <row r="5043" spans="1:2" hidden="1">
      <c r="A5043" s="187" t="str">
        <f t="shared" si="3"/>
        <v/>
      </c>
      <c r="B5043" s="187" t="str">
        <f t="shared" si="2"/>
        <v/>
      </c>
    </row>
    <row r="5044" spans="1:2" hidden="1">
      <c r="A5044" s="187" t="str">
        <f t="shared" si="3"/>
        <v/>
      </c>
      <c r="B5044" s="187" t="str">
        <f t="shared" si="2"/>
        <v/>
      </c>
    </row>
    <row r="5045" spans="1:2" hidden="1">
      <c r="A5045" s="187" t="str">
        <f t="shared" si="3"/>
        <v/>
      </c>
      <c r="B5045" s="187" t="str">
        <f t="shared" si="2"/>
        <v/>
      </c>
    </row>
    <row r="5046" spans="1:2" hidden="1">
      <c r="A5046" s="187" t="str">
        <f t="shared" si="3"/>
        <v/>
      </c>
      <c r="B5046" s="187" t="str">
        <f t="shared" si="2"/>
        <v/>
      </c>
    </row>
    <row r="5047" spans="1:2" hidden="1">
      <c r="A5047" s="187" t="str">
        <f t="shared" si="3"/>
        <v/>
      </c>
      <c r="B5047" s="187" t="str">
        <f t="shared" si="2"/>
        <v/>
      </c>
    </row>
    <row r="5048" spans="1:2" hidden="1">
      <c r="A5048" s="187" t="str">
        <f t="shared" si="3"/>
        <v/>
      </c>
      <c r="B5048" s="187" t="str">
        <f t="shared" si="2"/>
        <v/>
      </c>
    </row>
    <row r="5049" spans="1:2" hidden="1">
      <c r="A5049" s="187" t="str">
        <f t="shared" si="3"/>
        <v/>
      </c>
      <c r="B5049" s="187" t="str">
        <f t="shared" si="2"/>
        <v/>
      </c>
    </row>
    <row r="5050" spans="1:2" hidden="1">
      <c r="A5050" s="187" t="str">
        <f t="shared" si="3"/>
        <v/>
      </c>
      <c r="B5050" s="187" t="str">
        <f t="shared" si="2"/>
        <v/>
      </c>
    </row>
    <row r="5051" spans="1:2" hidden="1">
      <c r="A5051" s="187" t="str">
        <f t="shared" si="3"/>
        <v/>
      </c>
      <c r="B5051" s="187" t="str">
        <f t="shared" si="2"/>
        <v/>
      </c>
    </row>
    <row r="5052" spans="1:2" hidden="1">
      <c r="A5052" s="187" t="str">
        <f t="shared" si="3"/>
        <v/>
      </c>
      <c r="B5052" s="187" t="str">
        <f t="shared" si="2"/>
        <v/>
      </c>
    </row>
    <row r="5053" spans="1:2" hidden="1">
      <c r="A5053" s="187" t="str">
        <f t="shared" si="3"/>
        <v/>
      </c>
      <c r="B5053" s="187" t="str">
        <f t="shared" si="2"/>
        <v/>
      </c>
    </row>
    <row r="5054" spans="1:2" hidden="1">
      <c r="A5054" s="187" t="str">
        <f t="shared" si="3"/>
        <v/>
      </c>
      <c r="B5054" s="187" t="str">
        <f t="shared" si="2"/>
        <v/>
      </c>
    </row>
    <row r="5055" spans="1:2" hidden="1">
      <c r="A5055" s="187" t="str">
        <f t="shared" si="3"/>
        <v/>
      </c>
      <c r="B5055" s="187" t="str">
        <f t="shared" si="2"/>
        <v/>
      </c>
    </row>
    <row r="5056" spans="1:2" hidden="1">
      <c r="A5056" s="187" t="str">
        <f t="shared" si="3"/>
        <v/>
      </c>
      <c r="B5056" s="187" t="str">
        <f t="shared" si="2"/>
        <v/>
      </c>
    </row>
    <row r="5057" spans="1:2" hidden="1">
      <c r="A5057" s="187" t="str">
        <f t="shared" si="3"/>
        <v/>
      </c>
      <c r="B5057" s="187" t="str">
        <f t="shared" si="2"/>
        <v/>
      </c>
    </row>
    <row r="5058" spans="1:2" hidden="1">
      <c r="A5058" s="187" t="str">
        <f t="shared" si="3"/>
        <v/>
      </c>
      <c r="B5058" s="187" t="str">
        <f t="shared" si="2"/>
        <v/>
      </c>
    </row>
    <row r="5059" spans="1:2" hidden="1">
      <c r="A5059" s="187" t="str">
        <f t="shared" si="3"/>
        <v/>
      </c>
      <c r="B5059" s="187" t="str">
        <f t="shared" si="2"/>
        <v/>
      </c>
    </row>
    <row r="5060" spans="1:2" hidden="1">
      <c r="A5060" s="187" t="str">
        <f t="shared" si="3"/>
        <v/>
      </c>
      <c r="B5060" s="187" t="str">
        <f t="shared" si="2"/>
        <v/>
      </c>
    </row>
    <row r="5061" spans="1:2" hidden="1">
      <c r="A5061" s="187" t="str">
        <f t="shared" si="3"/>
        <v/>
      </c>
      <c r="B5061" s="187" t="str">
        <f t="shared" si="2"/>
        <v/>
      </c>
    </row>
    <row r="5062" spans="1:2" hidden="1">
      <c r="A5062" s="187" t="str">
        <f t="shared" si="3"/>
        <v/>
      </c>
      <c r="B5062" s="187" t="str">
        <f t="shared" si="2"/>
        <v/>
      </c>
    </row>
    <row r="5063" spans="1:2" hidden="1">
      <c r="A5063" s="187" t="str">
        <f t="shared" si="3"/>
        <v/>
      </c>
      <c r="B5063" s="187" t="str">
        <f t="shared" si="2"/>
        <v/>
      </c>
    </row>
    <row r="5064" spans="1:2" hidden="1">
      <c r="A5064" s="187" t="str">
        <f t="shared" si="3"/>
        <v/>
      </c>
      <c r="B5064" s="187" t="str">
        <f t="shared" si="2"/>
        <v/>
      </c>
    </row>
    <row r="5065" spans="1:2" hidden="1">
      <c r="A5065" s="187" t="str">
        <f t="shared" si="3"/>
        <v/>
      </c>
      <c r="B5065" s="187" t="str">
        <f t="shared" si="2"/>
        <v/>
      </c>
    </row>
    <row r="5066" spans="1:2" hidden="1">
      <c r="A5066" s="187" t="str">
        <f t="shared" si="3"/>
        <v/>
      </c>
      <c r="B5066" s="187" t="str">
        <f t="shared" si="2"/>
        <v/>
      </c>
    </row>
    <row r="5067" spans="1:2" hidden="1">
      <c r="A5067" s="187" t="str">
        <f t="shared" si="3"/>
        <v/>
      </c>
      <c r="B5067" s="187" t="str">
        <f t="shared" si="2"/>
        <v/>
      </c>
    </row>
    <row r="5068" spans="1:2" hidden="1">
      <c r="A5068" s="187" t="str">
        <f t="shared" si="3"/>
        <v/>
      </c>
      <c r="B5068" s="187" t="str">
        <f t="shared" si="2"/>
        <v/>
      </c>
    </row>
    <row r="5069" spans="1:2" hidden="1">
      <c r="A5069" s="187" t="str">
        <f t="shared" si="3"/>
        <v/>
      </c>
      <c r="B5069" s="187" t="str">
        <f t="shared" si="2"/>
        <v/>
      </c>
    </row>
    <row r="5070" spans="1:2" hidden="1">
      <c r="A5070" s="187" t="str">
        <f t="shared" si="3"/>
        <v/>
      </c>
      <c r="B5070" s="187" t="str">
        <f t="shared" si="2"/>
        <v/>
      </c>
    </row>
    <row r="5071" spans="1:2" hidden="1">
      <c r="A5071" s="187" t="str">
        <f t="shared" si="3"/>
        <v/>
      </c>
      <c r="B5071" s="187" t="str">
        <f t="shared" si="2"/>
        <v/>
      </c>
    </row>
    <row r="5072" spans="1:2" hidden="1">
      <c r="A5072" s="187" t="str">
        <f t="shared" si="3"/>
        <v/>
      </c>
      <c r="B5072" s="187" t="str">
        <f t="shared" si="2"/>
        <v/>
      </c>
    </row>
    <row r="5073" spans="1:2" hidden="1">
      <c r="A5073" s="187" t="str">
        <f t="shared" si="3"/>
        <v/>
      </c>
      <c r="B5073" s="187" t="str">
        <f t="shared" si="2"/>
        <v/>
      </c>
    </row>
    <row r="5074" spans="1:2" hidden="1">
      <c r="A5074" s="187" t="str">
        <f t="shared" si="3"/>
        <v/>
      </c>
      <c r="B5074" s="187" t="str">
        <f t="shared" si="2"/>
        <v/>
      </c>
    </row>
    <row r="5075" spans="1:2" hidden="1">
      <c r="A5075" s="187" t="str">
        <f t="shared" si="3"/>
        <v/>
      </c>
      <c r="B5075" s="187" t="str">
        <f t="shared" si="2"/>
        <v/>
      </c>
    </row>
    <row r="5076" spans="1:2" hidden="1">
      <c r="A5076" s="187" t="str">
        <f t="shared" si="3"/>
        <v/>
      </c>
      <c r="B5076" s="187" t="str">
        <f t="shared" si="2"/>
        <v/>
      </c>
    </row>
    <row r="5077" spans="1:2" hidden="1">
      <c r="A5077" s="187" t="str">
        <f t="shared" si="3"/>
        <v/>
      </c>
      <c r="B5077" s="187" t="str">
        <f t="shared" si="2"/>
        <v/>
      </c>
    </row>
    <row r="5078" spans="1:2" hidden="1">
      <c r="A5078" s="187" t="str">
        <f t="shared" si="3"/>
        <v/>
      </c>
      <c r="B5078" s="187" t="str">
        <f t="shared" si="2"/>
        <v/>
      </c>
    </row>
    <row r="5079" spans="1:2" hidden="1">
      <c r="A5079" s="187" t="str">
        <f t="shared" si="3"/>
        <v/>
      </c>
      <c r="B5079" s="187" t="str">
        <f t="shared" si="2"/>
        <v/>
      </c>
    </row>
    <row r="5080" spans="1:2" hidden="1">
      <c r="A5080" s="187" t="str">
        <f t="shared" si="3"/>
        <v/>
      </c>
      <c r="B5080" s="187" t="str">
        <f t="shared" si="2"/>
        <v/>
      </c>
    </row>
    <row r="5081" spans="1:2" hidden="1">
      <c r="A5081" s="187" t="str">
        <f t="shared" si="3"/>
        <v/>
      </c>
      <c r="B5081" s="187" t="str">
        <f t="shared" si="2"/>
        <v/>
      </c>
    </row>
    <row r="5082" spans="1:2" hidden="1">
      <c r="A5082" s="187" t="str">
        <f t="shared" si="3"/>
        <v/>
      </c>
      <c r="B5082" s="187" t="str">
        <f t="shared" si="2"/>
        <v/>
      </c>
    </row>
    <row r="5083" spans="1:2" hidden="1">
      <c r="A5083" s="187" t="str">
        <f t="shared" si="3"/>
        <v/>
      </c>
      <c r="B5083" s="187" t="str">
        <f t="shared" si="2"/>
        <v/>
      </c>
    </row>
    <row r="5084" spans="1:2" hidden="1">
      <c r="A5084" s="187" t="str">
        <f t="shared" si="3"/>
        <v/>
      </c>
      <c r="B5084" s="187" t="str">
        <f t="shared" ref="B5084:B5147" si="4">HYPERLINK("http://tw.stock.yahoo.com/d/s/earning_.html","")</f>
        <v/>
      </c>
    </row>
    <row r="5085" spans="1:2" hidden="1">
      <c r="A5085" s="187" t="str">
        <f t="shared" si="3"/>
        <v/>
      </c>
      <c r="B5085" s="187" t="str">
        <f t="shared" si="4"/>
        <v/>
      </c>
    </row>
    <row r="5086" spans="1:2" hidden="1">
      <c r="A5086" s="187" t="str">
        <f t="shared" si="3"/>
        <v/>
      </c>
      <c r="B5086" s="187" t="str">
        <f t="shared" si="4"/>
        <v/>
      </c>
    </row>
    <row r="5087" spans="1:2" hidden="1">
      <c r="A5087" s="187" t="str">
        <f t="shared" ref="A5087:A5150" si="5">HYPERLINK("http://tw.stock.yahoo.com/q/ta?s=","")</f>
        <v/>
      </c>
      <c r="B5087" s="187" t="str">
        <f t="shared" si="4"/>
        <v/>
      </c>
    </row>
    <row r="5088" spans="1:2" hidden="1">
      <c r="A5088" s="187" t="str">
        <f t="shared" si="5"/>
        <v/>
      </c>
      <c r="B5088" s="187" t="str">
        <f t="shared" si="4"/>
        <v/>
      </c>
    </row>
    <row r="5089" spans="1:2" hidden="1">
      <c r="A5089" s="187" t="str">
        <f t="shared" si="5"/>
        <v/>
      </c>
      <c r="B5089" s="187" t="str">
        <f t="shared" si="4"/>
        <v/>
      </c>
    </row>
    <row r="5090" spans="1:2" hidden="1">
      <c r="A5090" s="187" t="str">
        <f t="shared" si="5"/>
        <v/>
      </c>
      <c r="B5090" s="187" t="str">
        <f t="shared" si="4"/>
        <v/>
      </c>
    </row>
    <row r="5091" spans="1:2" hidden="1">
      <c r="A5091" s="187" t="str">
        <f t="shared" si="5"/>
        <v/>
      </c>
      <c r="B5091" s="187" t="str">
        <f t="shared" si="4"/>
        <v/>
      </c>
    </row>
    <row r="5092" spans="1:2" hidden="1">
      <c r="A5092" s="187" t="str">
        <f t="shared" si="5"/>
        <v/>
      </c>
      <c r="B5092" s="187" t="str">
        <f t="shared" si="4"/>
        <v/>
      </c>
    </row>
    <row r="5093" spans="1:2" hidden="1">
      <c r="A5093" s="187" t="str">
        <f t="shared" si="5"/>
        <v/>
      </c>
      <c r="B5093" s="187" t="str">
        <f t="shared" si="4"/>
        <v/>
      </c>
    </row>
    <row r="5094" spans="1:2" hidden="1">
      <c r="A5094" s="187" t="str">
        <f t="shared" si="5"/>
        <v/>
      </c>
      <c r="B5094" s="187" t="str">
        <f t="shared" si="4"/>
        <v/>
      </c>
    </row>
    <row r="5095" spans="1:2" hidden="1">
      <c r="A5095" s="187" t="str">
        <f t="shared" si="5"/>
        <v/>
      </c>
      <c r="B5095" s="187" t="str">
        <f t="shared" si="4"/>
        <v/>
      </c>
    </row>
    <row r="5096" spans="1:2" hidden="1">
      <c r="A5096" s="187" t="str">
        <f t="shared" si="5"/>
        <v/>
      </c>
      <c r="B5096" s="187" t="str">
        <f t="shared" si="4"/>
        <v/>
      </c>
    </row>
    <row r="5097" spans="1:2" hidden="1">
      <c r="A5097" s="187" t="str">
        <f t="shared" si="5"/>
        <v/>
      </c>
      <c r="B5097" s="187" t="str">
        <f t="shared" si="4"/>
        <v/>
      </c>
    </row>
    <row r="5098" spans="1:2" hidden="1">
      <c r="A5098" s="187" t="str">
        <f t="shared" si="5"/>
        <v/>
      </c>
      <c r="B5098" s="187" t="str">
        <f t="shared" si="4"/>
        <v/>
      </c>
    </row>
    <row r="5099" spans="1:2" hidden="1">
      <c r="A5099" s="187" t="str">
        <f t="shared" si="5"/>
        <v/>
      </c>
      <c r="B5099" s="187" t="str">
        <f t="shared" si="4"/>
        <v/>
      </c>
    </row>
    <row r="5100" spans="1:2" hidden="1">
      <c r="A5100" s="187" t="str">
        <f t="shared" si="5"/>
        <v/>
      </c>
      <c r="B5100" s="187" t="str">
        <f t="shared" si="4"/>
        <v/>
      </c>
    </row>
    <row r="5101" spans="1:2" hidden="1">
      <c r="A5101" s="187" t="str">
        <f t="shared" si="5"/>
        <v/>
      </c>
      <c r="B5101" s="187" t="str">
        <f t="shared" si="4"/>
        <v/>
      </c>
    </row>
    <row r="5102" spans="1:2" hidden="1">
      <c r="A5102" s="187" t="str">
        <f t="shared" si="5"/>
        <v/>
      </c>
      <c r="B5102" s="187" t="str">
        <f t="shared" si="4"/>
        <v/>
      </c>
    </row>
    <row r="5103" spans="1:2" hidden="1">
      <c r="A5103" s="187" t="str">
        <f t="shared" si="5"/>
        <v/>
      </c>
      <c r="B5103" s="187" t="str">
        <f t="shared" si="4"/>
        <v/>
      </c>
    </row>
    <row r="5104" spans="1:2" hidden="1">
      <c r="A5104" s="187" t="str">
        <f t="shared" si="5"/>
        <v/>
      </c>
      <c r="B5104" s="187" t="str">
        <f t="shared" si="4"/>
        <v/>
      </c>
    </row>
    <row r="5105" spans="1:2" hidden="1">
      <c r="A5105" s="187" t="str">
        <f t="shared" si="5"/>
        <v/>
      </c>
      <c r="B5105" s="187" t="str">
        <f t="shared" si="4"/>
        <v/>
      </c>
    </row>
    <row r="5106" spans="1:2" hidden="1">
      <c r="A5106" s="187" t="str">
        <f t="shared" si="5"/>
        <v/>
      </c>
      <c r="B5106" s="187" t="str">
        <f t="shared" si="4"/>
        <v/>
      </c>
    </row>
    <row r="5107" spans="1:2" hidden="1">
      <c r="A5107" s="187" t="str">
        <f t="shared" si="5"/>
        <v/>
      </c>
      <c r="B5107" s="187" t="str">
        <f t="shared" si="4"/>
        <v/>
      </c>
    </row>
    <row r="5108" spans="1:2" hidden="1">
      <c r="A5108" s="187" t="str">
        <f t="shared" si="5"/>
        <v/>
      </c>
      <c r="B5108" s="187" t="str">
        <f t="shared" si="4"/>
        <v/>
      </c>
    </row>
    <row r="5109" spans="1:2" hidden="1">
      <c r="A5109" s="187" t="str">
        <f t="shared" si="5"/>
        <v/>
      </c>
      <c r="B5109" s="187" t="str">
        <f t="shared" si="4"/>
        <v/>
      </c>
    </row>
    <row r="5110" spans="1:2" hidden="1">
      <c r="A5110" s="187" t="str">
        <f t="shared" si="5"/>
        <v/>
      </c>
      <c r="B5110" s="187" t="str">
        <f t="shared" si="4"/>
        <v/>
      </c>
    </row>
    <row r="5111" spans="1:2" hidden="1">
      <c r="A5111" s="187" t="str">
        <f t="shared" si="5"/>
        <v/>
      </c>
      <c r="B5111" s="187" t="str">
        <f t="shared" si="4"/>
        <v/>
      </c>
    </row>
    <row r="5112" spans="1:2" hidden="1">
      <c r="A5112" s="187" t="str">
        <f t="shared" si="5"/>
        <v/>
      </c>
      <c r="B5112" s="187" t="str">
        <f t="shared" si="4"/>
        <v/>
      </c>
    </row>
    <row r="5113" spans="1:2" hidden="1">
      <c r="A5113" s="187" t="str">
        <f t="shared" si="5"/>
        <v/>
      </c>
      <c r="B5113" s="187" t="str">
        <f t="shared" si="4"/>
        <v/>
      </c>
    </row>
    <row r="5114" spans="1:2" hidden="1">
      <c r="A5114" s="187" t="str">
        <f t="shared" si="5"/>
        <v/>
      </c>
      <c r="B5114" s="187" t="str">
        <f t="shared" si="4"/>
        <v/>
      </c>
    </row>
    <row r="5115" spans="1:2" hidden="1">
      <c r="A5115" s="187" t="str">
        <f t="shared" si="5"/>
        <v/>
      </c>
      <c r="B5115" s="187" t="str">
        <f t="shared" si="4"/>
        <v/>
      </c>
    </row>
    <row r="5116" spans="1:2" hidden="1">
      <c r="A5116" s="187" t="str">
        <f t="shared" si="5"/>
        <v/>
      </c>
      <c r="B5116" s="187" t="str">
        <f t="shared" si="4"/>
        <v/>
      </c>
    </row>
    <row r="5117" spans="1:2" hidden="1">
      <c r="A5117" s="187" t="str">
        <f t="shared" si="5"/>
        <v/>
      </c>
      <c r="B5117" s="187" t="str">
        <f t="shared" si="4"/>
        <v/>
      </c>
    </row>
    <row r="5118" spans="1:2" hidden="1">
      <c r="A5118" s="187" t="str">
        <f t="shared" si="5"/>
        <v/>
      </c>
      <c r="B5118" s="187" t="str">
        <f t="shared" si="4"/>
        <v/>
      </c>
    </row>
    <row r="5119" spans="1:2" hidden="1">
      <c r="A5119" s="187" t="str">
        <f t="shared" si="5"/>
        <v/>
      </c>
      <c r="B5119" s="187" t="str">
        <f t="shared" si="4"/>
        <v/>
      </c>
    </row>
    <row r="5120" spans="1:2" hidden="1">
      <c r="A5120" s="187" t="str">
        <f t="shared" si="5"/>
        <v/>
      </c>
      <c r="B5120" s="187" t="str">
        <f t="shared" si="4"/>
        <v/>
      </c>
    </row>
    <row r="5121" spans="1:2" hidden="1">
      <c r="A5121" s="187" t="str">
        <f t="shared" si="5"/>
        <v/>
      </c>
      <c r="B5121" s="187" t="str">
        <f t="shared" si="4"/>
        <v/>
      </c>
    </row>
    <row r="5122" spans="1:2" hidden="1">
      <c r="A5122" s="187" t="str">
        <f t="shared" si="5"/>
        <v/>
      </c>
      <c r="B5122" s="187" t="str">
        <f t="shared" si="4"/>
        <v/>
      </c>
    </row>
    <row r="5123" spans="1:2" hidden="1">
      <c r="A5123" s="187" t="str">
        <f t="shared" si="5"/>
        <v/>
      </c>
      <c r="B5123" s="187" t="str">
        <f t="shared" si="4"/>
        <v/>
      </c>
    </row>
    <row r="5124" spans="1:2" hidden="1">
      <c r="A5124" s="187" t="str">
        <f t="shared" si="5"/>
        <v/>
      </c>
      <c r="B5124" s="187" t="str">
        <f t="shared" si="4"/>
        <v/>
      </c>
    </row>
    <row r="5125" spans="1:2" hidden="1">
      <c r="A5125" s="187" t="str">
        <f t="shared" si="5"/>
        <v/>
      </c>
      <c r="B5125" s="187" t="str">
        <f t="shared" si="4"/>
        <v/>
      </c>
    </row>
    <row r="5126" spans="1:2" hidden="1">
      <c r="A5126" s="187" t="str">
        <f t="shared" si="5"/>
        <v/>
      </c>
      <c r="B5126" s="187" t="str">
        <f t="shared" si="4"/>
        <v/>
      </c>
    </row>
    <row r="5127" spans="1:2" hidden="1">
      <c r="A5127" s="187" t="str">
        <f t="shared" si="5"/>
        <v/>
      </c>
      <c r="B5127" s="187" t="str">
        <f t="shared" si="4"/>
        <v/>
      </c>
    </row>
    <row r="5128" spans="1:2" hidden="1">
      <c r="A5128" s="187" t="str">
        <f t="shared" si="5"/>
        <v/>
      </c>
      <c r="B5128" s="187" t="str">
        <f t="shared" si="4"/>
        <v/>
      </c>
    </row>
    <row r="5129" spans="1:2" hidden="1">
      <c r="A5129" s="187" t="str">
        <f t="shared" si="5"/>
        <v/>
      </c>
      <c r="B5129" s="187" t="str">
        <f t="shared" si="4"/>
        <v/>
      </c>
    </row>
    <row r="5130" spans="1:2" hidden="1">
      <c r="A5130" s="187" t="str">
        <f t="shared" si="5"/>
        <v/>
      </c>
      <c r="B5130" s="187" t="str">
        <f t="shared" si="4"/>
        <v/>
      </c>
    </row>
    <row r="5131" spans="1:2" hidden="1">
      <c r="A5131" s="187" t="str">
        <f t="shared" si="5"/>
        <v/>
      </c>
      <c r="B5131" s="187" t="str">
        <f t="shared" si="4"/>
        <v/>
      </c>
    </row>
    <row r="5132" spans="1:2" hidden="1">
      <c r="A5132" s="187" t="str">
        <f t="shared" si="5"/>
        <v/>
      </c>
      <c r="B5132" s="187" t="str">
        <f t="shared" si="4"/>
        <v/>
      </c>
    </row>
    <row r="5133" spans="1:2" hidden="1">
      <c r="A5133" s="187" t="str">
        <f t="shared" si="5"/>
        <v/>
      </c>
      <c r="B5133" s="187" t="str">
        <f t="shared" si="4"/>
        <v/>
      </c>
    </row>
    <row r="5134" spans="1:2" hidden="1">
      <c r="A5134" s="187" t="str">
        <f t="shared" si="5"/>
        <v/>
      </c>
      <c r="B5134" s="187" t="str">
        <f t="shared" si="4"/>
        <v/>
      </c>
    </row>
    <row r="5135" spans="1:2" hidden="1">
      <c r="A5135" s="187" t="str">
        <f t="shared" si="5"/>
        <v/>
      </c>
      <c r="B5135" s="187" t="str">
        <f t="shared" si="4"/>
        <v/>
      </c>
    </row>
    <row r="5136" spans="1:2" hidden="1">
      <c r="A5136" s="187" t="str">
        <f t="shared" si="5"/>
        <v/>
      </c>
      <c r="B5136" s="187" t="str">
        <f t="shared" si="4"/>
        <v/>
      </c>
    </row>
    <row r="5137" spans="1:2" hidden="1">
      <c r="A5137" s="187" t="str">
        <f t="shared" si="5"/>
        <v/>
      </c>
      <c r="B5137" s="187" t="str">
        <f t="shared" si="4"/>
        <v/>
      </c>
    </row>
    <row r="5138" spans="1:2" hidden="1">
      <c r="A5138" s="187" t="str">
        <f t="shared" si="5"/>
        <v/>
      </c>
      <c r="B5138" s="187" t="str">
        <f t="shared" si="4"/>
        <v/>
      </c>
    </row>
    <row r="5139" spans="1:2" hidden="1">
      <c r="A5139" s="187" t="str">
        <f t="shared" si="5"/>
        <v/>
      </c>
      <c r="B5139" s="187" t="str">
        <f t="shared" si="4"/>
        <v/>
      </c>
    </row>
    <row r="5140" spans="1:2" hidden="1">
      <c r="A5140" s="187" t="str">
        <f t="shared" si="5"/>
        <v/>
      </c>
      <c r="B5140" s="187" t="str">
        <f t="shared" si="4"/>
        <v/>
      </c>
    </row>
    <row r="5141" spans="1:2" hidden="1">
      <c r="A5141" s="187" t="str">
        <f t="shared" si="5"/>
        <v/>
      </c>
      <c r="B5141" s="187" t="str">
        <f t="shared" si="4"/>
        <v/>
      </c>
    </row>
    <row r="5142" spans="1:2" hidden="1">
      <c r="A5142" s="187" t="str">
        <f t="shared" si="5"/>
        <v/>
      </c>
      <c r="B5142" s="187" t="str">
        <f t="shared" si="4"/>
        <v/>
      </c>
    </row>
    <row r="5143" spans="1:2" hidden="1">
      <c r="A5143" s="187" t="str">
        <f t="shared" si="5"/>
        <v/>
      </c>
      <c r="B5143" s="187" t="str">
        <f t="shared" si="4"/>
        <v/>
      </c>
    </row>
    <row r="5144" spans="1:2" hidden="1">
      <c r="A5144" s="187" t="str">
        <f t="shared" si="5"/>
        <v/>
      </c>
      <c r="B5144" s="187" t="str">
        <f t="shared" si="4"/>
        <v/>
      </c>
    </row>
    <row r="5145" spans="1:2" hidden="1">
      <c r="A5145" s="187" t="str">
        <f t="shared" si="5"/>
        <v/>
      </c>
      <c r="B5145" s="187" t="str">
        <f t="shared" si="4"/>
        <v/>
      </c>
    </row>
    <row r="5146" spans="1:2" hidden="1">
      <c r="A5146" s="187" t="str">
        <f t="shared" si="5"/>
        <v/>
      </c>
      <c r="B5146" s="187" t="str">
        <f t="shared" si="4"/>
        <v/>
      </c>
    </row>
    <row r="5147" spans="1:2" hidden="1">
      <c r="A5147" s="187" t="str">
        <f t="shared" si="5"/>
        <v/>
      </c>
      <c r="B5147" s="187" t="str">
        <f t="shared" si="4"/>
        <v/>
      </c>
    </row>
    <row r="5148" spans="1:2" hidden="1">
      <c r="A5148" s="187" t="str">
        <f t="shared" si="5"/>
        <v/>
      </c>
      <c r="B5148" s="187" t="str">
        <f t="shared" ref="B5148:B5211" si="6">HYPERLINK("http://tw.stock.yahoo.com/d/s/earning_.html","")</f>
        <v/>
      </c>
    </row>
    <row r="5149" spans="1:2" hidden="1">
      <c r="A5149" s="187" t="str">
        <f t="shared" si="5"/>
        <v/>
      </c>
      <c r="B5149" s="187" t="str">
        <f t="shared" si="6"/>
        <v/>
      </c>
    </row>
    <row r="5150" spans="1:2" hidden="1">
      <c r="A5150" s="187" t="str">
        <f t="shared" si="5"/>
        <v/>
      </c>
      <c r="B5150" s="187" t="str">
        <f t="shared" si="6"/>
        <v/>
      </c>
    </row>
    <row r="5151" spans="1:2" hidden="1">
      <c r="A5151" s="187" t="str">
        <f t="shared" ref="A5151:A5214" si="7">HYPERLINK("http://tw.stock.yahoo.com/q/ta?s=","")</f>
        <v/>
      </c>
      <c r="B5151" s="187" t="str">
        <f t="shared" si="6"/>
        <v/>
      </c>
    </row>
    <row r="5152" spans="1:2" hidden="1">
      <c r="A5152" s="187" t="str">
        <f t="shared" si="7"/>
        <v/>
      </c>
      <c r="B5152" s="187" t="str">
        <f t="shared" si="6"/>
        <v/>
      </c>
    </row>
    <row r="5153" spans="1:2" hidden="1">
      <c r="A5153" s="187" t="str">
        <f t="shared" si="7"/>
        <v/>
      </c>
      <c r="B5153" s="187" t="str">
        <f t="shared" si="6"/>
        <v/>
      </c>
    </row>
    <row r="5154" spans="1:2" hidden="1">
      <c r="A5154" s="187" t="str">
        <f t="shared" si="7"/>
        <v/>
      </c>
      <c r="B5154" s="187" t="str">
        <f t="shared" si="6"/>
        <v/>
      </c>
    </row>
    <row r="5155" spans="1:2" hidden="1">
      <c r="A5155" s="187" t="str">
        <f t="shared" si="7"/>
        <v/>
      </c>
      <c r="B5155" s="187" t="str">
        <f t="shared" si="6"/>
        <v/>
      </c>
    </row>
    <row r="5156" spans="1:2" hidden="1">
      <c r="A5156" s="187" t="str">
        <f t="shared" si="7"/>
        <v/>
      </c>
      <c r="B5156" s="187" t="str">
        <f t="shared" si="6"/>
        <v/>
      </c>
    </row>
    <row r="5157" spans="1:2" hidden="1">
      <c r="A5157" s="187" t="str">
        <f t="shared" si="7"/>
        <v/>
      </c>
      <c r="B5157" s="187" t="str">
        <f t="shared" si="6"/>
        <v/>
      </c>
    </row>
    <row r="5158" spans="1:2" hidden="1">
      <c r="A5158" s="187" t="str">
        <f t="shared" si="7"/>
        <v/>
      </c>
      <c r="B5158" s="187" t="str">
        <f t="shared" si="6"/>
        <v/>
      </c>
    </row>
    <row r="5159" spans="1:2" hidden="1">
      <c r="A5159" s="187" t="str">
        <f t="shared" si="7"/>
        <v/>
      </c>
      <c r="B5159" s="187" t="str">
        <f t="shared" si="6"/>
        <v/>
      </c>
    </row>
    <row r="5160" spans="1:2" hidden="1">
      <c r="A5160" s="187" t="str">
        <f t="shared" si="7"/>
        <v/>
      </c>
      <c r="B5160" s="187" t="str">
        <f t="shared" si="6"/>
        <v/>
      </c>
    </row>
    <row r="5161" spans="1:2" hidden="1">
      <c r="A5161" s="187" t="str">
        <f t="shared" si="7"/>
        <v/>
      </c>
      <c r="B5161" s="187" t="str">
        <f t="shared" si="6"/>
        <v/>
      </c>
    </row>
    <row r="5162" spans="1:2" hidden="1">
      <c r="A5162" s="187" t="str">
        <f t="shared" si="7"/>
        <v/>
      </c>
      <c r="B5162" s="187" t="str">
        <f t="shared" si="6"/>
        <v/>
      </c>
    </row>
    <row r="5163" spans="1:2" hidden="1">
      <c r="A5163" s="187" t="str">
        <f t="shared" si="7"/>
        <v/>
      </c>
      <c r="B5163" s="187" t="str">
        <f t="shared" si="6"/>
        <v/>
      </c>
    </row>
    <row r="5164" spans="1:2" hidden="1">
      <c r="A5164" s="187" t="str">
        <f t="shared" si="7"/>
        <v/>
      </c>
      <c r="B5164" s="187" t="str">
        <f t="shared" si="6"/>
        <v/>
      </c>
    </row>
    <row r="5165" spans="1:2" hidden="1">
      <c r="A5165" s="187" t="str">
        <f t="shared" si="7"/>
        <v/>
      </c>
      <c r="B5165" s="187" t="str">
        <f t="shared" si="6"/>
        <v/>
      </c>
    </row>
    <row r="5166" spans="1:2" hidden="1">
      <c r="A5166" s="187" t="str">
        <f t="shared" si="7"/>
        <v/>
      </c>
      <c r="B5166" s="187" t="str">
        <f t="shared" si="6"/>
        <v/>
      </c>
    </row>
    <row r="5167" spans="1:2" hidden="1">
      <c r="A5167" s="187" t="str">
        <f t="shared" si="7"/>
        <v/>
      </c>
      <c r="B5167" s="187" t="str">
        <f t="shared" si="6"/>
        <v/>
      </c>
    </row>
    <row r="5168" spans="1:2" hidden="1">
      <c r="A5168" s="187" t="str">
        <f t="shared" si="7"/>
        <v/>
      </c>
      <c r="B5168" s="187" t="str">
        <f t="shared" si="6"/>
        <v/>
      </c>
    </row>
    <row r="5169" spans="1:2" hidden="1">
      <c r="A5169" s="187" t="str">
        <f t="shared" si="7"/>
        <v/>
      </c>
      <c r="B5169" s="187" t="str">
        <f t="shared" si="6"/>
        <v/>
      </c>
    </row>
    <row r="5170" spans="1:2" hidden="1">
      <c r="A5170" s="187" t="str">
        <f t="shared" si="7"/>
        <v/>
      </c>
      <c r="B5170" s="187" t="str">
        <f t="shared" si="6"/>
        <v/>
      </c>
    </row>
    <row r="5171" spans="1:2" hidden="1">
      <c r="A5171" s="187" t="str">
        <f t="shared" si="7"/>
        <v/>
      </c>
      <c r="B5171" s="187" t="str">
        <f t="shared" si="6"/>
        <v/>
      </c>
    </row>
    <row r="5172" spans="1:2" hidden="1">
      <c r="A5172" s="187" t="str">
        <f t="shared" si="7"/>
        <v/>
      </c>
      <c r="B5172" s="187" t="str">
        <f t="shared" si="6"/>
        <v/>
      </c>
    </row>
    <row r="5173" spans="1:2" hidden="1">
      <c r="A5173" s="187" t="str">
        <f t="shared" si="7"/>
        <v/>
      </c>
      <c r="B5173" s="187" t="str">
        <f t="shared" si="6"/>
        <v/>
      </c>
    </row>
    <row r="5174" spans="1:2" hidden="1">
      <c r="A5174" s="187" t="str">
        <f t="shared" si="7"/>
        <v/>
      </c>
      <c r="B5174" s="187" t="str">
        <f t="shared" si="6"/>
        <v/>
      </c>
    </row>
    <row r="5175" spans="1:2" hidden="1">
      <c r="A5175" s="187" t="str">
        <f t="shared" si="7"/>
        <v/>
      </c>
      <c r="B5175" s="187" t="str">
        <f t="shared" si="6"/>
        <v/>
      </c>
    </row>
    <row r="5176" spans="1:2" hidden="1">
      <c r="A5176" s="187" t="str">
        <f t="shared" si="7"/>
        <v/>
      </c>
      <c r="B5176" s="187" t="str">
        <f t="shared" si="6"/>
        <v/>
      </c>
    </row>
    <row r="5177" spans="1:2" hidden="1">
      <c r="A5177" s="187" t="str">
        <f t="shared" si="7"/>
        <v/>
      </c>
      <c r="B5177" s="187" t="str">
        <f t="shared" si="6"/>
        <v/>
      </c>
    </row>
    <row r="5178" spans="1:2" hidden="1">
      <c r="A5178" s="187" t="str">
        <f t="shared" si="7"/>
        <v/>
      </c>
      <c r="B5178" s="187" t="str">
        <f t="shared" si="6"/>
        <v/>
      </c>
    </row>
    <row r="5179" spans="1:2" hidden="1">
      <c r="A5179" s="187" t="str">
        <f t="shared" si="7"/>
        <v/>
      </c>
      <c r="B5179" s="187" t="str">
        <f t="shared" si="6"/>
        <v/>
      </c>
    </row>
    <row r="5180" spans="1:2" hidden="1">
      <c r="A5180" s="187" t="str">
        <f t="shared" si="7"/>
        <v/>
      </c>
      <c r="B5180" s="187" t="str">
        <f t="shared" si="6"/>
        <v/>
      </c>
    </row>
    <row r="5181" spans="1:2" hidden="1">
      <c r="A5181" s="187" t="str">
        <f t="shared" si="7"/>
        <v/>
      </c>
      <c r="B5181" s="187" t="str">
        <f t="shared" si="6"/>
        <v/>
      </c>
    </row>
    <row r="5182" spans="1:2" hidden="1">
      <c r="A5182" s="187" t="str">
        <f t="shared" si="7"/>
        <v/>
      </c>
      <c r="B5182" s="187" t="str">
        <f t="shared" si="6"/>
        <v/>
      </c>
    </row>
    <row r="5183" spans="1:2" hidden="1">
      <c r="A5183" s="187" t="str">
        <f t="shared" si="7"/>
        <v/>
      </c>
      <c r="B5183" s="187" t="str">
        <f t="shared" si="6"/>
        <v/>
      </c>
    </row>
    <row r="5184" spans="1:2" hidden="1">
      <c r="A5184" s="187" t="str">
        <f t="shared" si="7"/>
        <v/>
      </c>
      <c r="B5184" s="187" t="str">
        <f t="shared" si="6"/>
        <v/>
      </c>
    </row>
    <row r="5185" spans="1:2" hidden="1">
      <c r="A5185" s="187" t="str">
        <f t="shared" si="7"/>
        <v/>
      </c>
      <c r="B5185" s="187" t="str">
        <f t="shared" si="6"/>
        <v/>
      </c>
    </row>
    <row r="5186" spans="1:2" hidden="1">
      <c r="A5186" s="187" t="str">
        <f t="shared" si="7"/>
        <v/>
      </c>
      <c r="B5186" s="187" t="str">
        <f t="shared" si="6"/>
        <v/>
      </c>
    </row>
    <row r="5187" spans="1:2" hidden="1">
      <c r="A5187" s="187" t="str">
        <f t="shared" si="7"/>
        <v/>
      </c>
      <c r="B5187" s="187" t="str">
        <f t="shared" si="6"/>
        <v/>
      </c>
    </row>
    <row r="5188" spans="1:2" hidden="1">
      <c r="A5188" s="187" t="str">
        <f t="shared" si="7"/>
        <v/>
      </c>
      <c r="B5188" s="187" t="str">
        <f t="shared" si="6"/>
        <v/>
      </c>
    </row>
    <row r="5189" spans="1:2" hidden="1">
      <c r="A5189" s="187" t="str">
        <f t="shared" si="7"/>
        <v/>
      </c>
      <c r="B5189" s="187" t="str">
        <f t="shared" si="6"/>
        <v/>
      </c>
    </row>
    <row r="5190" spans="1:2" hidden="1">
      <c r="A5190" s="187" t="str">
        <f t="shared" si="7"/>
        <v/>
      </c>
      <c r="B5190" s="187" t="str">
        <f t="shared" si="6"/>
        <v/>
      </c>
    </row>
    <row r="5191" spans="1:2" hidden="1">
      <c r="A5191" s="187" t="str">
        <f t="shared" si="7"/>
        <v/>
      </c>
      <c r="B5191" s="187" t="str">
        <f t="shared" si="6"/>
        <v/>
      </c>
    </row>
    <row r="5192" spans="1:2" hidden="1">
      <c r="A5192" s="187" t="str">
        <f t="shared" si="7"/>
        <v/>
      </c>
      <c r="B5192" s="187" t="str">
        <f t="shared" si="6"/>
        <v/>
      </c>
    </row>
    <row r="5193" spans="1:2" hidden="1">
      <c r="A5193" s="187" t="str">
        <f t="shared" si="7"/>
        <v/>
      </c>
      <c r="B5193" s="187" t="str">
        <f t="shared" si="6"/>
        <v/>
      </c>
    </row>
    <row r="5194" spans="1:2" hidden="1">
      <c r="A5194" s="187" t="str">
        <f t="shared" si="7"/>
        <v/>
      </c>
      <c r="B5194" s="187" t="str">
        <f t="shared" si="6"/>
        <v/>
      </c>
    </row>
    <row r="5195" spans="1:2" hidden="1">
      <c r="A5195" s="187" t="str">
        <f t="shared" si="7"/>
        <v/>
      </c>
      <c r="B5195" s="187" t="str">
        <f t="shared" si="6"/>
        <v/>
      </c>
    </row>
    <row r="5196" spans="1:2" hidden="1">
      <c r="A5196" s="187" t="str">
        <f t="shared" si="7"/>
        <v/>
      </c>
      <c r="B5196" s="187" t="str">
        <f t="shared" si="6"/>
        <v/>
      </c>
    </row>
    <row r="5197" spans="1:2" hidden="1">
      <c r="A5197" s="187" t="str">
        <f t="shared" si="7"/>
        <v/>
      </c>
      <c r="B5197" s="187" t="str">
        <f t="shared" si="6"/>
        <v/>
      </c>
    </row>
    <row r="5198" spans="1:2" hidden="1">
      <c r="A5198" s="187" t="str">
        <f t="shared" si="7"/>
        <v/>
      </c>
      <c r="B5198" s="187" t="str">
        <f t="shared" si="6"/>
        <v/>
      </c>
    </row>
    <row r="5199" spans="1:2" hidden="1">
      <c r="A5199" s="187" t="str">
        <f t="shared" si="7"/>
        <v/>
      </c>
      <c r="B5199" s="187" t="str">
        <f t="shared" si="6"/>
        <v/>
      </c>
    </row>
    <row r="5200" spans="1:2" hidden="1">
      <c r="A5200" s="187" t="str">
        <f t="shared" si="7"/>
        <v/>
      </c>
      <c r="B5200" s="187" t="str">
        <f t="shared" si="6"/>
        <v/>
      </c>
    </row>
    <row r="5201" spans="1:2" hidden="1">
      <c r="A5201" s="187" t="str">
        <f t="shared" si="7"/>
        <v/>
      </c>
      <c r="B5201" s="187" t="str">
        <f t="shared" si="6"/>
        <v/>
      </c>
    </row>
    <row r="5202" spans="1:2" hidden="1">
      <c r="A5202" s="187" t="str">
        <f t="shared" si="7"/>
        <v/>
      </c>
      <c r="B5202" s="187" t="str">
        <f t="shared" si="6"/>
        <v/>
      </c>
    </row>
    <row r="5203" spans="1:2" hidden="1">
      <c r="A5203" s="187" t="str">
        <f t="shared" si="7"/>
        <v/>
      </c>
      <c r="B5203" s="187" t="str">
        <f t="shared" si="6"/>
        <v/>
      </c>
    </row>
    <row r="5204" spans="1:2" hidden="1">
      <c r="A5204" s="187" t="str">
        <f t="shared" si="7"/>
        <v/>
      </c>
      <c r="B5204" s="187" t="str">
        <f t="shared" si="6"/>
        <v/>
      </c>
    </row>
    <row r="5205" spans="1:2" hidden="1">
      <c r="A5205" s="187" t="str">
        <f t="shared" si="7"/>
        <v/>
      </c>
      <c r="B5205" s="187" t="str">
        <f t="shared" si="6"/>
        <v/>
      </c>
    </row>
    <row r="5206" spans="1:2" hidden="1">
      <c r="A5206" s="187" t="str">
        <f t="shared" si="7"/>
        <v/>
      </c>
      <c r="B5206" s="187" t="str">
        <f t="shared" si="6"/>
        <v/>
      </c>
    </row>
    <row r="5207" spans="1:2" hidden="1">
      <c r="A5207" s="187" t="str">
        <f t="shared" si="7"/>
        <v/>
      </c>
      <c r="B5207" s="187" t="str">
        <f t="shared" si="6"/>
        <v/>
      </c>
    </row>
    <row r="5208" spans="1:2" hidden="1">
      <c r="A5208" s="187" t="str">
        <f t="shared" si="7"/>
        <v/>
      </c>
      <c r="B5208" s="187" t="str">
        <f t="shared" si="6"/>
        <v/>
      </c>
    </row>
    <row r="5209" spans="1:2" hidden="1">
      <c r="A5209" s="187" t="str">
        <f t="shared" si="7"/>
        <v/>
      </c>
      <c r="B5209" s="187" t="str">
        <f t="shared" si="6"/>
        <v/>
      </c>
    </row>
    <row r="5210" spans="1:2" hidden="1">
      <c r="A5210" s="187" t="str">
        <f t="shared" si="7"/>
        <v/>
      </c>
      <c r="B5210" s="187" t="str">
        <f t="shared" si="6"/>
        <v/>
      </c>
    </row>
    <row r="5211" spans="1:2" hidden="1">
      <c r="A5211" s="187" t="str">
        <f t="shared" si="7"/>
        <v/>
      </c>
      <c r="B5211" s="187" t="str">
        <f t="shared" si="6"/>
        <v/>
      </c>
    </row>
    <row r="5212" spans="1:2" hidden="1">
      <c r="A5212" s="187" t="str">
        <f t="shared" si="7"/>
        <v/>
      </c>
      <c r="B5212" s="187" t="str">
        <f t="shared" ref="B5212:B5275" si="8">HYPERLINK("http://tw.stock.yahoo.com/d/s/earning_.html","")</f>
        <v/>
      </c>
    </row>
    <row r="5213" spans="1:2" hidden="1">
      <c r="A5213" s="187" t="str">
        <f t="shared" si="7"/>
        <v/>
      </c>
      <c r="B5213" s="187" t="str">
        <f t="shared" si="8"/>
        <v/>
      </c>
    </row>
    <row r="5214" spans="1:2" hidden="1">
      <c r="A5214" s="187" t="str">
        <f t="shared" si="7"/>
        <v/>
      </c>
      <c r="B5214" s="187" t="str">
        <f t="shared" si="8"/>
        <v/>
      </c>
    </row>
    <row r="5215" spans="1:2" hidden="1">
      <c r="A5215" s="187" t="str">
        <f t="shared" ref="A5215:A5278" si="9">HYPERLINK("http://tw.stock.yahoo.com/q/ta?s=","")</f>
        <v/>
      </c>
      <c r="B5215" s="187" t="str">
        <f t="shared" si="8"/>
        <v/>
      </c>
    </row>
    <row r="5216" spans="1:2" hidden="1">
      <c r="A5216" s="187" t="str">
        <f t="shared" si="9"/>
        <v/>
      </c>
      <c r="B5216" s="187" t="str">
        <f t="shared" si="8"/>
        <v/>
      </c>
    </row>
    <row r="5217" spans="1:2" hidden="1">
      <c r="A5217" s="187" t="str">
        <f t="shared" si="9"/>
        <v/>
      </c>
      <c r="B5217" s="187" t="str">
        <f t="shared" si="8"/>
        <v/>
      </c>
    </row>
    <row r="5218" spans="1:2" hidden="1">
      <c r="A5218" s="187" t="str">
        <f t="shared" si="9"/>
        <v/>
      </c>
      <c r="B5218" s="187" t="str">
        <f t="shared" si="8"/>
        <v/>
      </c>
    </row>
    <row r="5219" spans="1:2" hidden="1">
      <c r="A5219" s="187" t="str">
        <f t="shared" si="9"/>
        <v/>
      </c>
      <c r="B5219" s="187" t="str">
        <f t="shared" si="8"/>
        <v/>
      </c>
    </row>
    <row r="5220" spans="1:2" hidden="1">
      <c r="A5220" s="187" t="str">
        <f t="shared" si="9"/>
        <v/>
      </c>
      <c r="B5220" s="187" t="str">
        <f t="shared" si="8"/>
        <v/>
      </c>
    </row>
    <row r="5221" spans="1:2" hidden="1">
      <c r="A5221" s="187" t="str">
        <f t="shared" si="9"/>
        <v/>
      </c>
      <c r="B5221" s="187" t="str">
        <f t="shared" si="8"/>
        <v/>
      </c>
    </row>
    <row r="5222" spans="1:2" hidden="1">
      <c r="A5222" s="187" t="str">
        <f t="shared" si="9"/>
        <v/>
      </c>
      <c r="B5222" s="187" t="str">
        <f t="shared" si="8"/>
        <v/>
      </c>
    </row>
    <row r="5223" spans="1:2" hidden="1">
      <c r="A5223" s="187" t="str">
        <f t="shared" si="9"/>
        <v/>
      </c>
      <c r="B5223" s="187" t="str">
        <f t="shared" si="8"/>
        <v/>
      </c>
    </row>
    <row r="5224" spans="1:2" hidden="1">
      <c r="A5224" s="187" t="str">
        <f t="shared" si="9"/>
        <v/>
      </c>
      <c r="B5224" s="187" t="str">
        <f t="shared" si="8"/>
        <v/>
      </c>
    </row>
    <row r="5225" spans="1:2" hidden="1">
      <c r="A5225" s="187" t="str">
        <f t="shared" si="9"/>
        <v/>
      </c>
      <c r="B5225" s="187" t="str">
        <f t="shared" si="8"/>
        <v/>
      </c>
    </row>
    <row r="5226" spans="1:2" hidden="1">
      <c r="A5226" s="187" t="str">
        <f t="shared" si="9"/>
        <v/>
      </c>
      <c r="B5226" s="187" t="str">
        <f t="shared" si="8"/>
        <v/>
      </c>
    </row>
    <row r="5227" spans="1:2" hidden="1">
      <c r="A5227" s="187" t="str">
        <f t="shared" si="9"/>
        <v/>
      </c>
      <c r="B5227" s="187" t="str">
        <f t="shared" si="8"/>
        <v/>
      </c>
    </row>
    <row r="5228" spans="1:2" hidden="1">
      <c r="A5228" s="187" t="str">
        <f t="shared" si="9"/>
        <v/>
      </c>
      <c r="B5228" s="187" t="str">
        <f t="shared" si="8"/>
        <v/>
      </c>
    </row>
    <row r="5229" spans="1:2" hidden="1">
      <c r="A5229" s="187" t="str">
        <f t="shared" si="9"/>
        <v/>
      </c>
      <c r="B5229" s="187" t="str">
        <f t="shared" si="8"/>
        <v/>
      </c>
    </row>
    <row r="5230" spans="1:2" hidden="1">
      <c r="A5230" s="187" t="str">
        <f t="shared" si="9"/>
        <v/>
      </c>
      <c r="B5230" s="187" t="str">
        <f t="shared" si="8"/>
        <v/>
      </c>
    </row>
    <row r="5231" spans="1:2" hidden="1">
      <c r="A5231" s="187" t="str">
        <f t="shared" si="9"/>
        <v/>
      </c>
      <c r="B5231" s="187" t="str">
        <f t="shared" si="8"/>
        <v/>
      </c>
    </row>
    <row r="5232" spans="1:2" hidden="1">
      <c r="A5232" s="187" t="str">
        <f t="shared" si="9"/>
        <v/>
      </c>
      <c r="B5232" s="187" t="str">
        <f t="shared" si="8"/>
        <v/>
      </c>
    </row>
    <row r="5233" spans="1:2" hidden="1">
      <c r="A5233" s="187" t="str">
        <f t="shared" si="9"/>
        <v/>
      </c>
      <c r="B5233" s="187" t="str">
        <f t="shared" si="8"/>
        <v/>
      </c>
    </row>
    <row r="5234" spans="1:2" hidden="1">
      <c r="A5234" s="187" t="str">
        <f t="shared" si="9"/>
        <v/>
      </c>
      <c r="B5234" s="187" t="str">
        <f t="shared" si="8"/>
        <v/>
      </c>
    </row>
    <row r="5235" spans="1:2" hidden="1">
      <c r="A5235" s="187" t="str">
        <f t="shared" si="9"/>
        <v/>
      </c>
      <c r="B5235" s="187" t="str">
        <f t="shared" si="8"/>
        <v/>
      </c>
    </row>
    <row r="5236" spans="1:2" hidden="1">
      <c r="A5236" s="187" t="str">
        <f t="shared" si="9"/>
        <v/>
      </c>
      <c r="B5236" s="187" t="str">
        <f t="shared" si="8"/>
        <v/>
      </c>
    </row>
    <row r="5237" spans="1:2" hidden="1">
      <c r="A5237" s="187" t="str">
        <f t="shared" si="9"/>
        <v/>
      </c>
      <c r="B5237" s="187" t="str">
        <f t="shared" si="8"/>
        <v/>
      </c>
    </row>
    <row r="5238" spans="1:2" hidden="1">
      <c r="A5238" s="187" t="str">
        <f t="shared" si="9"/>
        <v/>
      </c>
      <c r="B5238" s="187" t="str">
        <f t="shared" si="8"/>
        <v/>
      </c>
    </row>
    <row r="5239" spans="1:2" hidden="1">
      <c r="A5239" s="187" t="str">
        <f t="shared" si="9"/>
        <v/>
      </c>
      <c r="B5239" s="187" t="str">
        <f t="shared" si="8"/>
        <v/>
      </c>
    </row>
    <row r="5240" spans="1:2" hidden="1">
      <c r="A5240" s="187" t="str">
        <f t="shared" si="9"/>
        <v/>
      </c>
      <c r="B5240" s="187" t="str">
        <f t="shared" si="8"/>
        <v/>
      </c>
    </row>
    <row r="5241" spans="1:2" hidden="1">
      <c r="A5241" s="187" t="str">
        <f t="shared" si="9"/>
        <v/>
      </c>
      <c r="B5241" s="187" t="str">
        <f t="shared" si="8"/>
        <v/>
      </c>
    </row>
    <row r="5242" spans="1:2" hidden="1">
      <c r="A5242" s="187" t="str">
        <f t="shared" si="9"/>
        <v/>
      </c>
      <c r="B5242" s="187" t="str">
        <f t="shared" si="8"/>
        <v/>
      </c>
    </row>
    <row r="5243" spans="1:2" hidden="1">
      <c r="A5243" s="187" t="str">
        <f t="shared" si="9"/>
        <v/>
      </c>
      <c r="B5243" s="187" t="str">
        <f t="shared" si="8"/>
        <v/>
      </c>
    </row>
    <row r="5244" spans="1:2" hidden="1">
      <c r="A5244" s="187" t="str">
        <f t="shared" si="9"/>
        <v/>
      </c>
      <c r="B5244" s="187" t="str">
        <f t="shared" si="8"/>
        <v/>
      </c>
    </row>
    <row r="5245" spans="1:2" hidden="1">
      <c r="A5245" s="187" t="str">
        <f t="shared" si="9"/>
        <v/>
      </c>
      <c r="B5245" s="187" t="str">
        <f t="shared" si="8"/>
        <v/>
      </c>
    </row>
    <row r="5246" spans="1:2" hidden="1">
      <c r="A5246" s="187" t="str">
        <f t="shared" si="9"/>
        <v/>
      </c>
      <c r="B5246" s="187" t="str">
        <f t="shared" si="8"/>
        <v/>
      </c>
    </row>
    <row r="5247" spans="1:2" hidden="1">
      <c r="A5247" s="187" t="str">
        <f t="shared" si="9"/>
        <v/>
      </c>
      <c r="B5247" s="187" t="str">
        <f t="shared" si="8"/>
        <v/>
      </c>
    </row>
    <row r="5248" spans="1:2" hidden="1">
      <c r="A5248" s="187" t="str">
        <f t="shared" si="9"/>
        <v/>
      </c>
      <c r="B5248" s="187" t="str">
        <f t="shared" si="8"/>
        <v/>
      </c>
    </row>
    <row r="5249" spans="1:2" hidden="1">
      <c r="A5249" s="187" t="str">
        <f t="shared" si="9"/>
        <v/>
      </c>
      <c r="B5249" s="187" t="str">
        <f t="shared" si="8"/>
        <v/>
      </c>
    </row>
    <row r="5250" spans="1:2" hidden="1">
      <c r="A5250" s="187" t="str">
        <f t="shared" si="9"/>
        <v/>
      </c>
      <c r="B5250" s="187" t="str">
        <f t="shared" si="8"/>
        <v/>
      </c>
    </row>
    <row r="5251" spans="1:2" hidden="1">
      <c r="A5251" s="187" t="str">
        <f t="shared" si="9"/>
        <v/>
      </c>
      <c r="B5251" s="187" t="str">
        <f t="shared" si="8"/>
        <v/>
      </c>
    </row>
    <row r="5252" spans="1:2" hidden="1">
      <c r="A5252" s="187" t="str">
        <f t="shared" si="9"/>
        <v/>
      </c>
      <c r="B5252" s="187" t="str">
        <f t="shared" si="8"/>
        <v/>
      </c>
    </row>
    <row r="5253" spans="1:2" hidden="1">
      <c r="A5253" s="187" t="str">
        <f t="shared" si="9"/>
        <v/>
      </c>
      <c r="B5253" s="187" t="str">
        <f t="shared" si="8"/>
        <v/>
      </c>
    </row>
    <row r="5254" spans="1:2" hidden="1">
      <c r="A5254" s="187" t="str">
        <f t="shared" si="9"/>
        <v/>
      </c>
      <c r="B5254" s="187" t="str">
        <f t="shared" si="8"/>
        <v/>
      </c>
    </row>
    <row r="5255" spans="1:2" hidden="1">
      <c r="A5255" s="187" t="str">
        <f t="shared" si="9"/>
        <v/>
      </c>
      <c r="B5255" s="187" t="str">
        <f t="shared" si="8"/>
        <v/>
      </c>
    </row>
    <row r="5256" spans="1:2" hidden="1">
      <c r="A5256" s="187" t="str">
        <f t="shared" si="9"/>
        <v/>
      </c>
      <c r="B5256" s="187" t="str">
        <f t="shared" si="8"/>
        <v/>
      </c>
    </row>
    <row r="5257" spans="1:2" hidden="1">
      <c r="A5257" s="187" t="str">
        <f t="shared" si="9"/>
        <v/>
      </c>
      <c r="B5257" s="187" t="str">
        <f t="shared" si="8"/>
        <v/>
      </c>
    </row>
    <row r="5258" spans="1:2" hidden="1">
      <c r="A5258" s="187" t="str">
        <f t="shared" si="9"/>
        <v/>
      </c>
      <c r="B5258" s="187" t="str">
        <f t="shared" si="8"/>
        <v/>
      </c>
    </row>
    <row r="5259" spans="1:2" hidden="1">
      <c r="A5259" s="187" t="str">
        <f t="shared" si="9"/>
        <v/>
      </c>
      <c r="B5259" s="187" t="str">
        <f t="shared" si="8"/>
        <v/>
      </c>
    </row>
    <row r="5260" spans="1:2" hidden="1">
      <c r="A5260" s="187" t="str">
        <f t="shared" si="9"/>
        <v/>
      </c>
      <c r="B5260" s="187" t="str">
        <f t="shared" si="8"/>
        <v/>
      </c>
    </row>
    <row r="5261" spans="1:2" hidden="1">
      <c r="A5261" s="187" t="str">
        <f t="shared" si="9"/>
        <v/>
      </c>
      <c r="B5261" s="187" t="str">
        <f t="shared" si="8"/>
        <v/>
      </c>
    </row>
    <row r="5262" spans="1:2" hidden="1">
      <c r="A5262" s="187" t="str">
        <f t="shared" si="9"/>
        <v/>
      </c>
      <c r="B5262" s="187" t="str">
        <f t="shared" si="8"/>
        <v/>
      </c>
    </row>
    <row r="5263" spans="1:2" hidden="1">
      <c r="A5263" s="187" t="str">
        <f t="shared" si="9"/>
        <v/>
      </c>
      <c r="B5263" s="187" t="str">
        <f t="shared" si="8"/>
        <v/>
      </c>
    </row>
    <row r="5264" spans="1:2" hidden="1">
      <c r="A5264" s="187" t="str">
        <f t="shared" si="9"/>
        <v/>
      </c>
      <c r="B5264" s="187" t="str">
        <f t="shared" si="8"/>
        <v/>
      </c>
    </row>
    <row r="5265" spans="1:2" hidden="1">
      <c r="A5265" s="187" t="str">
        <f t="shared" si="9"/>
        <v/>
      </c>
      <c r="B5265" s="187" t="str">
        <f t="shared" si="8"/>
        <v/>
      </c>
    </row>
    <row r="5266" spans="1:2" hidden="1">
      <c r="A5266" s="187" t="str">
        <f t="shared" si="9"/>
        <v/>
      </c>
      <c r="B5266" s="187" t="str">
        <f t="shared" si="8"/>
        <v/>
      </c>
    </row>
    <row r="5267" spans="1:2" hidden="1">
      <c r="A5267" s="187" t="str">
        <f t="shared" si="9"/>
        <v/>
      </c>
      <c r="B5267" s="187" t="str">
        <f t="shared" si="8"/>
        <v/>
      </c>
    </row>
    <row r="5268" spans="1:2" hidden="1">
      <c r="A5268" s="187" t="str">
        <f t="shared" si="9"/>
        <v/>
      </c>
      <c r="B5268" s="187" t="str">
        <f t="shared" si="8"/>
        <v/>
      </c>
    </row>
    <row r="5269" spans="1:2" hidden="1">
      <c r="A5269" s="187" t="str">
        <f t="shared" si="9"/>
        <v/>
      </c>
      <c r="B5269" s="187" t="str">
        <f t="shared" si="8"/>
        <v/>
      </c>
    </row>
    <row r="5270" spans="1:2" hidden="1">
      <c r="A5270" s="187" t="str">
        <f t="shared" si="9"/>
        <v/>
      </c>
      <c r="B5270" s="187" t="str">
        <f t="shared" si="8"/>
        <v/>
      </c>
    </row>
    <row r="5271" spans="1:2" hidden="1">
      <c r="A5271" s="187" t="str">
        <f t="shared" si="9"/>
        <v/>
      </c>
      <c r="B5271" s="187" t="str">
        <f t="shared" si="8"/>
        <v/>
      </c>
    </row>
    <row r="5272" spans="1:2" hidden="1">
      <c r="A5272" s="187" t="str">
        <f t="shared" si="9"/>
        <v/>
      </c>
      <c r="B5272" s="187" t="str">
        <f t="shared" si="8"/>
        <v/>
      </c>
    </row>
    <row r="5273" spans="1:2" hidden="1">
      <c r="A5273" s="187" t="str">
        <f t="shared" si="9"/>
        <v/>
      </c>
      <c r="B5273" s="187" t="str">
        <f t="shared" si="8"/>
        <v/>
      </c>
    </row>
    <row r="5274" spans="1:2" hidden="1">
      <c r="A5274" s="187" t="str">
        <f t="shared" si="9"/>
        <v/>
      </c>
      <c r="B5274" s="187" t="str">
        <f t="shared" si="8"/>
        <v/>
      </c>
    </row>
    <row r="5275" spans="1:2" hidden="1">
      <c r="A5275" s="187" t="str">
        <f t="shared" si="9"/>
        <v/>
      </c>
      <c r="B5275" s="187" t="str">
        <f t="shared" si="8"/>
        <v/>
      </c>
    </row>
    <row r="5276" spans="1:2" hidden="1">
      <c r="A5276" s="187" t="str">
        <f t="shared" si="9"/>
        <v/>
      </c>
      <c r="B5276" s="187" t="str">
        <f t="shared" ref="B5276:B5339" si="10">HYPERLINK("http://tw.stock.yahoo.com/d/s/earning_.html","")</f>
        <v/>
      </c>
    </row>
    <row r="5277" spans="1:2" hidden="1">
      <c r="A5277" s="187" t="str">
        <f t="shared" si="9"/>
        <v/>
      </c>
      <c r="B5277" s="187" t="str">
        <f t="shared" si="10"/>
        <v/>
      </c>
    </row>
    <row r="5278" spans="1:2" hidden="1">
      <c r="A5278" s="187" t="str">
        <f t="shared" si="9"/>
        <v/>
      </c>
      <c r="B5278" s="187" t="str">
        <f t="shared" si="10"/>
        <v/>
      </c>
    </row>
    <row r="5279" spans="1:2" hidden="1">
      <c r="A5279" s="187" t="str">
        <f t="shared" ref="A5279:A5342" si="11">HYPERLINK("http://tw.stock.yahoo.com/q/ta?s=","")</f>
        <v/>
      </c>
      <c r="B5279" s="187" t="str">
        <f t="shared" si="10"/>
        <v/>
      </c>
    </row>
    <row r="5280" spans="1:2" hidden="1">
      <c r="A5280" s="187" t="str">
        <f t="shared" si="11"/>
        <v/>
      </c>
      <c r="B5280" s="187" t="str">
        <f t="shared" si="10"/>
        <v/>
      </c>
    </row>
    <row r="5281" spans="1:2" hidden="1">
      <c r="A5281" s="187" t="str">
        <f t="shared" si="11"/>
        <v/>
      </c>
      <c r="B5281" s="187" t="str">
        <f t="shared" si="10"/>
        <v/>
      </c>
    </row>
    <row r="5282" spans="1:2" hidden="1">
      <c r="A5282" s="187" t="str">
        <f t="shared" si="11"/>
        <v/>
      </c>
      <c r="B5282" s="187" t="str">
        <f t="shared" si="10"/>
        <v/>
      </c>
    </row>
    <row r="5283" spans="1:2" hidden="1">
      <c r="A5283" s="187" t="str">
        <f t="shared" si="11"/>
        <v/>
      </c>
      <c r="B5283" s="187" t="str">
        <f t="shared" si="10"/>
        <v/>
      </c>
    </row>
    <row r="5284" spans="1:2" hidden="1">
      <c r="A5284" s="187" t="str">
        <f t="shared" si="11"/>
        <v/>
      </c>
      <c r="B5284" s="187" t="str">
        <f t="shared" si="10"/>
        <v/>
      </c>
    </row>
    <row r="5285" spans="1:2" hidden="1">
      <c r="A5285" s="187" t="str">
        <f t="shared" si="11"/>
        <v/>
      </c>
      <c r="B5285" s="187" t="str">
        <f t="shared" si="10"/>
        <v/>
      </c>
    </row>
    <row r="5286" spans="1:2" hidden="1">
      <c r="A5286" s="187" t="str">
        <f t="shared" si="11"/>
        <v/>
      </c>
      <c r="B5286" s="187" t="str">
        <f t="shared" si="10"/>
        <v/>
      </c>
    </row>
    <row r="5287" spans="1:2" hidden="1">
      <c r="A5287" s="187" t="str">
        <f t="shared" si="11"/>
        <v/>
      </c>
      <c r="B5287" s="187" t="str">
        <f t="shared" si="10"/>
        <v/>
      </c>
    </row>
    <row r="5288" spans="1:2" hidden="1">
      <c r="A5288" s="187" t="str">
        <f t="shared" si="11"/>
        <v/>
      </c>
      <c r="B5288" s="187" t="str">
        <f t="shared" si="10"/>
        <v/>
      </c>
    </row>
    <row r="5289" spans="1:2" hidden="1">
      <c r="A5289" s="187" t="str">
        <f t="shared" si="11"/>
        <v/>
      </c>
      <c r="B5289" s="187" t="str">
        <f t="shared" si="10"/>
        <v/>
      </c>
    </row>
    <row r="5290" spans="1:2" hidden="1">
      <c r="A5290" s="187" t="str">
        <f t="shared" si="11"/>
        <v/>
      </c>
      <c r="B5290" s="187" t="str">
        <f t="shared" si="10"/>
        <v/>
      </c>
    </row>
    <row r="5291" spans="1:2" hidden="1">
      <c r="A5291" s="187" t="str">
        <f t="shared" si="11"/>
        <v/>
      </c>
      <c r="B5291" s="187" t="str">
        <f t="shared" si="10"/>
        <v/>
      </c>
    </row>
    <row r="5292" spans="1:2" hidden="1">
      <c r="A5292" s="187" t="str">
        <f t="shared" si="11"/>
        <v/>
      </c>
      <c r="B5292" s="187" t="str">
        <f t="shared" si="10"/>
        <v/>
      </c>
    </row>
    <row r="5293" spans="1:2" hidden="1">
      <c r="A5293" s="187" t="str">
        <f t="shared" si="11"/>
        <v/>
      </c>
      <c r="B5293" s="187" t="str">
        <f t="shared" si="10"/>
        <v/>
      </c>
    </row>
    <row r="5294" spans="1:2" hidden="1">
      <c r="A5294" s="187" t="str">
        <f t="shared" si="11"/>
        <v/>
      </c>
      <c r="B5294" s="187" t="str">
        <f t="shared" si="10"/>
        <v/>
      </c>
    </row>
    <row r="5295" spans="1:2" hidden="1">
      <c r="A5295" s="187" t="str">
        <f t="shared" si="11"/>
        <v/>
      </c>
      <c r="B5295" s="187" t="str">
        <f t="shared" si="10"/>
        <v/>
      </c>
    </row>
    <row r="5296" spans="1:2" hidden="1">
      <c r="A5296" s="187" t="str">
        <f t="shared" si="11"/>
        <v/>
      </c>
      <c r="B5296" s="187" t="str">
        <f t="shared" si="10"/>
        <v/>
      </c>
    </row>
    <row r="5297" spans="1:2" hidden="1">
      <c r="A5297" s="187" t="str">
        <f t="shared" si="11"/>
        <v/>
      </c>
      <c r="B5297" s="187" t="str">
        <f t="shared" si="10"/>
        <v/>
      </c>
    </row>
    <row r="5298" spans="1:2" hidden="1">
      <c r="A5298" s="187" t="str">
        <f t="shared" si="11"/>
        <v/>
      </c>
      <c r="B5298" s="187" t="str">
        <f t="shared" si="10"/>
        <v/>
      </c>
    </row>
    <row r="5299" spans="1:2" hidden="1">
      <c r="A5299" s="187" t="str">
        <f t="shared" si="11"/>
        <v/>
      </c>
      <c r="B5299" s="187" t="str">
        <f t="shared" si="10"/>
        <v/>
      </c>
    </row>
    <row r="5300" spans="1:2" hidden="1">
      <c r="A5300" s="187" t="str">
        <f t="shared" si="11"/>
        <v/>
      </c>
      <c r="B5300" s="187" t="str">
        <f t="shared" si="10"/>
        <v/>
      </c>
    </row>
    <row r="5301" spans="1:2" hidden="1">
      <c r="A5301" s="187" t="str">
        <f t="shared" si="11"/>
        <v/>
      </c>
      <c r="B5301" s="187" t="str">
        <f t="shared" si="10"/>
        <v/>
      </c>
    </row>
    <row r="5302" spans="1:2" hidden="1">
      <c r="A5302" s="187" t="str">
        <f t="shared" si="11"/>
        <v/>
      </c>
      <c r="B5302" s="187" t="str">
        <f t="shared" si="10"/>
        <v/>
      </c>
    </row>
    <row r="5303" spans="1:2" hidden="1">
      <c r="A5303" s="187" t="str">
        <f t="shared" si="11"/>
        <v/>
      </c>
      <c r="B5303" s="187" t="str">
        <f t="shared" si="10"/>
        <v/>
      </c>
    </row>
    <row r="5304" spans="1:2" hidden="1">
      <c r="A5304" s="187" t="str">
        <f t="shared" si="11"/>
        <v/>
      </c>
      <c r="B5304" s="187" t="str">
        <f t="shared" si="10"/>
        <v/>
      </c>
    </row>
    <row r="5305" spans="1:2" hidden="1">
      <c r="A5305" s="187" t="str">
        <f t="shared" si="11"/>
        <v/>
      </c>
      <c r="B5305" s="187" t="str">
        <f t="shared" si="10"/>
        <v/>
      </c>
    </row>
    <row r="5306" spans="1:2" hidden="1">
      <c r="A5306" s="187" t="str">
        <f t="shared" si="11"/>
        <v/>
      </c>
      <c r="B5306" s="187" t="str">
        <f t="shared" si="10"/>
        <v/>
      </c>
    </row>
    <row r="5307" spans="1:2" hidden="1">
      <c r="A5307" s="187" t="str">
        <f t="shared" si="11"/>
        <v/>
      </c>
      <c r="B5307" s="187" t="str">
        <f t="shared" si="10"/>
        <v/>
      </c>
    </row>
    <row r="5308" spans="1:2" hidden="1">
      <c r="A5308" s="187" t="str">
        <f t="shared" si="11"/>
        <v/>
      </c>
      <c r="B5308" s="187" t="str">
        <f t="shared" si="10"/>
        <v/>
      </c>
    </row>
    <row r="5309" spans="1:2" hidden="1">
      <c r="A5309" s="187" t="str">
        <f t="shared" si="11"/>
        <v/>
      </c>
      <c r="B5309" s="187" t="str">
        <f t="shared" si="10"/>
        <v/>
      </c>
    </row>
    <row r="5310" spans="1:2" hidden="1">
      <c r="A5310" s="187" t="str">
        <f t="shared" si="11"/>
        <v/>
      </c>
      <c r="B5310" s="187" t="str">
        <f t="shared" si="10"/>
        <v/>
      </c>
    </row>
    <row r="5311" spans="1:2" hidden="1">
      <c r="A5311" s="187" t="str">
        <f t="shared" si="11"/>
        <v/>
      </c>
      <c r="B5311" s="187" t="str">
        <f t="shared" si="10"/>
        <v/>
      </c>
    </row>
    <row r="5312" spans="1:2" hidden="1">
      <c r="A5312" s="187" t="str">
        <f t="shared" si="11"/>
        <v/>
      </c>
      <c r="B5312" s="187" t="str">
        <f t="shared" si="10"/>
        <v/>
      </c>
    </row>
    <row r="5313" spans="1:2" hidden="1">
      <c r="A5313" s="187" t="str">
        <f t="shared" si="11"/>
        <v/>
      </c>
      <c r="B5313" s="187" t="str">
        <f t="shared" si="10"/>
        <v/>
      </c>
    </row>
    <row r="5314" spans="1:2" hidden="1">
      <c r="A5314" s="187" t="str">
        <f t="shared" si="11"/>
        <v/>
      </c>
      <c r="B5314" s="187" t="str">
        <f t="shared" si="10"/>
        <v/>
      </c>
    </row>
    <row r="5315" spans="1:2" hidden="1">
      <c r="A5315" s="187" t="str">
        <f t="shared" si="11"/>
        <v/>
      </c>
      <c r="B5315" s="187" t="str">
        <f t="shared" si="10"/>
        <v/>
      </c>
    </row>
    <row r="5316" spans="1:2" hidden="1">
      <c r="A5316" s="187" t="str">
        <f t="shared" si="11"/>
        <v/>
      </c>
      <c r="B5316" s="187" t="str">
        <f t="shared" si="10"/>
        <v/>
      </c>
    </row>
    <row r="5317" spans="1:2" hidden="1">
      <c r="A5317" s="187" t="str">
        <f t="shared" si="11"/>
        <v/>
      </c>
      <c r="B5317" s="187" t="str">
        <f t="shared" si="10"/>
        <v/>
      </c>
    </row>
    <row r="5318" spans="1:2" hidden="1">
      <c r="A5318" s="187" t="str">
        <f t="shared" si="11"/>
        <v/>
      </c>
      <c r="B5318" s="187" t="str">
        <f t="shared" si="10"/>
        <v/>
      </c>
    </row>
    <row r="5319" spans="1:2" hidden="1">
      <c r="A5319" s="187" t="str">
        <f t="shared" si="11"/>
        <v/>
      </c>
      <c r="B5319" s="187" t="str">
        <f t="shared" si="10"/>
        <v/>
      </c>
    </row>
    <row r="5320" spans="1:2" hidden="1">
      <c r="A5320" s="187" t="str">
        <f t="shared" si="11"/>
        <v/>
      </c>
      <c r="B5320" s="187" t="str">
        <f t="shared" si="10"/>
        <v/>
      </c>
    </row>
    <row r="5321" spans="1:2" hidden="1">
      <c r="A5321" s="187" t="str">
        <f t="shared" si="11"/>
        <v/>
      </c>
      <c r="B5321" s="187" t="str">
        <f t="shared" si="10"/>
        <v/>
      </c>
    </row>
    <row r="5322" spans="1:2" hidden="1">
      <c r="A5322" s="187" t="str">
        <f t="shared" si="11"/>
        <v/>
      </c>
      <c r="B5322" s="187" t="str">
        <f t="shared" si="10"/>
        <v/>
      </c>
    </row>
    <row r="5323" spans="1:2" hidden="1">
      <c r="A5323" s="187" t="str">
        <f t="shared" si="11"/>
        <v/>
      </c>
      <c r="B5323" s="187" t="str">
        <f t="shared" si="10"/>
        <v/>
      </c>
    </row>
    <row r="5324" spans="1:2" hidden="1">
      <c r="A5324" s="187" t="str">
        <f t="shared" si="11"/>
        <v/>
      </c>
      <c r="B5324" s="187" t="str">
        <f t="shared" si="10"/>
        <v/>
      </c>
    </row>
    <row r="5325" spans="1:2" hidden="1">
      <c r="A5325" s="187" t="str">
        <f t="shared" si="11"/>
        <v/>
      </c>
      <c r="B5325" s="187" t="str">
        <f t="shared" si="10"/>
        <v/>
      </c>
    </row>
    <row r="5326" spans="1:2" hidden="1">
      <c r="A5326" s="187" t="str">
        <f t="shared" si="11"/>
        <v/>
      </c>
      <c r="B5326" s="187" t="str">
        <f t="shared" si="10"/>
        <v/>
      </c>
    </row>
    <row r="5327" spans="1:2" hidden="1">
      <c r="A5327" s="187" t="str">
        <f t="shared" si="11"/>
        <v/>
      </c>
      <c r="B5327" s="187" t="str">
        <f t="shared" si="10"/>
        <v/>
      </c>
    </row>
    <row r="5328" spans="1:2" hidden="1">
      <c r="A5328" s="187" t="str">
        <f t="shared" si="11"/>
        <v/>
      </c>
      <c r="B5328" s="187" t="str">
        <f t="shared" si="10"/>
        <v/>
      </c>
    </row>
    <row r="5329" spans="1:2" hidden="1">
      <c r="A5329" s="187" t="str">
        <f t="shared" si="11"/>
        <v/>
      </c>
      <c r="B5329" s="187" t="str">
        <f t="shared" si="10"/>
        <v/>
      </c>
    </row>
    <row r="5330" spans="1:2" hidden="1">
      <c r="A5330" s="187" t="str">
        <f t="shared" si="11"/>
        <v/>
      </c>
      <c r="B5330" s="187" t="str">
        <f t="shared" si="10"/>
        <v/>
      </c>
    </row>
    <row r="5331" spans="1:2" hidden="1">
      <c r="A5331" s="187" t="str">
        <f t="shared" si="11"/>
        <v/>
      </c>
      <c r="B5331" s="187" t="str">
        <f t="shared" si="10"/>
        <v/>
      </c>
    </row>
    <row r="5332" spans="1:2" hidden="1">
      <c r="A5332" s="187" t="str">
        <f t="shared" si="11"/>
        <v/>
      </c>
      <c r="B5332" s="187" t="str">
        <f t="shared" si="10"/>
        <v/>
      </c>
    </row>
    <row r="5333" spans="1:2" hidden="1">
      <c r="A5333" s="187" t="str">
        <f t="shared" si="11"/>
        <v/>
      </c>
      <c r="B5333" s="187" t="str">
        <f t="shared" si="10"/>
        <v/>
      </c>
    </row>
    <row r="5334" spans="1:2" hidden="1">
      <c r="A5334" s="187" t="str">
        <f t="shared" si="11"/>
        <v/>
      </c>
      <c r="B5334" s="187" t="str">
        <f t="shared" si="10"/>
        <v/>
      </c>
    </row>
    <row r="5335" spans="1:2" hidden="1">
      <c r="A5335" s="187" t="str">
        <f t="shared" si="11"/>
        <v/>
      </c>
      <c r="B5335" s="187" t="str">
        <f t="shared" si="10"/>
        <v/>
      </c>
    </row>
    <row r="5336" spans="1:2" hidden="1">
      <c r="A5336" s="187" t="str">
        <f t="shared" si="11"/>
        <v/>
      </c>
      <c r="B5336" s="187" t="str">
        <f t="shared" si="10"/>
        <v/>
      </c>
    </row>
    <row r="5337" spans="1:2" hidden="1">
      <c r="A5337" s="187" t="str">
        <f t="shared" si="11"/>
        <v/>
      </c>
      <c r="B5337" s="187" t="str">
        <f t="shared" si="10"/>
        <v/>
      </c>
    </row>
    <row r="5338" spans="1:2" hidden="1">
      <c r="A5338" s="187" t="str">
        <f t="shared" si="11"/>
        <v/>
      </c>
      <c r="B5338" s="187" t="str">
        <f t="shared" si="10"/>
        <v/>
      </c>
    </row>
    <row r="5339" spans="1:2" hidden="1">
      <c r="A5339" s="187" t="str">
        <f t="shared" si="11"/>
        <v/>
      </c>
      <c r="B5339" s="187" t="str">
        <f t="shared" si="10"/>
        <v/>
      </c>
    </row>
    <row r="5340" spans="1:2" hidden="1">
      <c r="A5340" s="187" t="str">
        <f t="shared" si="11"/>
        <v/>
      </c>
      <c r="B5340" s="187" t="str">
        <f t="shared" ref="B5340:B5403" si="12">HYPERLINK("http://tw.stock.yahoo.com/d/s/earning_.html","")</f>
        <v/>
      </c>
    </row>
    <row r="5341" spans="1:2" hidden="1">
      <c r="A5341" s="187" t="str">
        <f t="shared" si="11"/>
        <v/>
      </c>
      <c r="B5341" s="187" t="str">
        <f t="shared" si="12"/>
        <v/>
      </c>
    </row>
    <row r="5342" spans="1:2" hidden="1">
      <c r="A5342" s="187" t="str">
        <f t="shared" si="11"/>
        <v/>
      </c>
      <c r="B5342" s="187" t="str">
        <f t="shared" si="12"/>
        <v/>
      </c>
    </row>
    <row r="5343" spans="1:2" hidden="1">
      <c r="A5343" s="187" t="str">
        <f t="shared" ref="A5343:A5406" si="13">HYPERLINK("http://tw.stock.yahoo.com/q/ta?s=","")</f>
        <v/>
      </c>
      <c r="B5343" s="187" t="str">
        <f t="shared" si="12"/>
        <v/>
      </c>
    </row>
    <row r="5344" spans="1:2" hidden="1">
      <c r="A5344" s="187" t="str">
        <f t="shared" si="13"/>
        <v/>
      </c>
      <c r="B5344" s="187" t="str">
        <f t="shared" si="12"/>
        <v/>
      </c>
    </row>
    <row r="5345" spans="1:2" hidden="1">
      <c r="A5345" s="187" t="str">
        <f t="shared" si="13"/>
        <v/>
      </c>
      <c r="B5345" s="187" t="str">
        <f t="shared" si="12"/>
        <v/>
      </c>
    </row>
    <row r="5346" spans="1:2" hidden="1">
      <c r="A5346" s="187" t="str">
        <f t="shared" si="13"/>
        <v/>
      </c>
      <c r="B5346" s="187" t="str">
        <f t="shared" si="12"/>
        <v/>
      </c>
    </row>
    <row r="5347" spans="1:2" hidden="1">
      <c r="A5347" s="187" t="str">
        <f t="shared" si="13"/>
        <v/>
      </c>
      <c r="B5347" s="187" t="str">
        <f t="shared" si="12"/>
        <v/>
      </c>
    </row>
    <row r="5348" spans="1:2" hidden="1">
      <c r="A5348" s="187" t="str">
        <f t="shared" si="13"/>
        <v/>
      </c>
      <c r="B5348" s="187" t="str">
        <f t="shared" si="12"/>
        <v/>
      </c>
    </row>
    <row r="5349" spans="1:2" hidden="1">
      <c r="A5349" s="187" t="str">
        <f t="shared" si="13"/>
        <v/>
      </c>
      <c r="B5349" s="187" t="str">
        <f t="shared" si="12"/>
        <v/>
      </c>
    </row>
    <row r="5350" spans="1:2" hidden="1">
      <c r="A5350" s="187" t="str">
        <f t="shared" si="13"/>
        <v/>
      </c>
      <c r="B5350" s="187" t="str">
        <f t="shared" si="12"/>
        <v/>
      </c>
    </row>
    <row r="5351" spans="1:2" hidden="1">
      <c r="A5351" s="187" t="str">
        <f t="shared" si="13"/>
        <v/>
      </c>
      <c r="B5351" s="187" t="str">
        <f t="shared" si="12"/>
        <v/>
      </c>
    </row>
    <row r="5352" spans="1:2" hidden="1">
      <c r="A5352" s="187" t="str">
        <f t="shared" si="13"/>
        <v/>
      </c>
      <c r="B5352" s="187" t="str">
        <f t="shared" si="12"/>
        <v/>
      </c>
    </row>
    <row r="5353" spans="1:2" hidden="1">
      <c r="A5353" s="187" t="str">
        <f t="shared" si="13"/>
        <v/>
      </c>
      <c r="B5353" s="187" t="str">
        <f t="shared" si="12"/>
        <v/>
      </c>
    </row>
    <row r="5354" spans="1:2" hidden="1">
      <c r="A5354" s="187" t="str">
        <f t="shared" si="13"/>
        <v/>
      </c>
      <c r="B5354" s="187" t="str">
        <f t="shared" si="12"/>
        <v/>
      </c>
    </row>
    <row r="5355" spans="1:2" hidden="1">
      <c r="A5355" s="187" t="str">
        <f t="shared" si="13"/>
        <v/>
      </c>
      <c r="B5355" s="187" t="str">
        <f t="shared" si="12"/>
        <v/>
      </c>
    </row>
    <row r="5356" spans="1:2" hidden="1">
      <c r="A5356" s="187" t="str">
        <f t="shared" si="13"/>
        <v/>
      </c>
      <c r="B5356" s="187" t="str">
        <f t="shared" si="12"/>
        <v/>
      </c>
    </row>
    <row r="5357" spans="1:2" hidden="1">
      <c r="A5357" s="187" t="str">
        <f t="shared" si="13"/>
        <v/>
      </c>
      <c r="B5357" s="187" t="str">
        <f t="shared" si="12"/>
        <v/>
      </c>
    </row>
    <row r="5358" spans="1:2" hidden="1">
      <c r="A5358" s="187" t="str">
        <f t="shared" si="13"/>
        <v/>
      </c>
      <c r="B5358" s="187" t="str">
        <f t="shared" si="12"/>
        <v/>
      </c>
    </row>
    <row r="5359" spans="1:2" hidden="1">
      <c r="A5359" s="187" t="str">
        <f t="shared" si="13"/>
        <v/>
      </c>
      <c r="B5359" s="187" t="str">
        <f t="shared" si="12"/>
        <v/>
      </c>
    </row>
    <row r="5360" spans="1:2" hidden="1">
      <c r="A5360" s="187" t="str">
        <f t="shared" si="13"/>
        <v/>
      </c>
      <c r="B5360" s="187" t="str">
        <f t="shared" si="12"/>
        <v/>
      </c>
    </row>
    <row r="5361" spans="1:2" hidden="1">
      <c r="A5361" s="187" t="str">
        <f t="shared" si="13"/>
        <v/>
      </c>
      <c r="B5361" s="187" t="str">
        <f t="shared" si="12"/>
        <v/>
      </c>
    </row>
    <row r="5362" spans="1:2" hidden="1">
      <c r="A5362" s="187" t="str">
        <f t="shared" si="13"/>
        <v/>
      </c>
      <c r="B5362" s="187" t="str">
        <f t="shared" si="12"/>
        <v/>
      </c>
    </row>
    <row r="5363" spans="1:2" hidden="1">
      <c r="A5363" s="187" t="str">
        <f t="shared" si="13"/>
        <v/>
      </c>
      <c r="B5363" s="187" t="str">
        <f t="shared" si="12"/>
        <v/>
      </c>
    </row>
    <row r="5364" spans="1:2" hidden="1">
      <c r="A5364" s="187" t="str">
        <f t="shared" si="13"/>
        <v/>
      </c>
      <c r="B5364" s="187" t="str">
        <f t="shared" si="12"/>
        <v/>
      </c>
    </row>
    <row r="5365" spans="1:2" hidden="1">
      <c r="A5365" s="187" t="str">
        <f t="shared" si="13"/>
        <v/>
      </c>
      <c r="B5365" s="187" t="str">
        <f t="shared" si="12"/>
        <v/>
      </c>
    </row>
    <row r="5366" spans="1:2" hidden="1">
      <c r="A5366" s="187" t="str">
        <f t="shared" si="13"/>
        <v/>
      </c>
      <c r="B5366" s="187" t="str">
        <f t="shared" si="12"/>
        <v/>
      </c>
    </row>
    <row r="5367" spans="1:2" hidden="1">
      <c r="A5367" s="187" t="str">
        <f t="shared" si="13"/>
        <v/>
      </c>
      <c r="B5367" s="187" t="str">
        <f t="shared" si="12"/>
        <v/>
      </c>
    </row>
    <row r="5368" spans="1:2" hidden="1">
      <c r="A5368" s="187" t="str">
        <f t="shared" si="13"/>
        <v/>
      </c>
      <c r="B5368" s="187" t="str">
        <f t="shared" si="12"/>
        <v/>
      </c>
    </row>
    <row r="5369" spans="1:2" hidden="1">
      <c r="A5369" s="187" t="str">
        <f t="shared" si="13"/>
        <v/>
      </c>
      <c r="B5369" s="187" t="str">
        <f t="shared" si="12"/>
        <v/>
      </c>
    </row>
    <row r="5370" spans="1:2" hidden="1">
      <c r="A5370" s="187" t="str">
        <f t="shared" si="13"/>
        <v/>
      </c>
      <c r="B5370" s="187" t="str">
        <f t="shared" si="12"/>
        <v/>
      </c>
    </row>
    <row r="5371" spans="1:2" hidden="1">
      <c r="A5371" s="187" t="str">
        <f t="shared" si="13"/>
        <v/>
      </c>
      <c r="B5371" s="187" t="str">
        <f t="shared" si="12"/>
        <v/>
      </c>
    </row>
    <row r="5372" spans="1:2" hidden="1">
      <c r="A5372" s="187" t="str">
        <f t="shared" si="13"/>
        <v/>
      </c>
      <c r="B5372" s="187" t="str">
        <f t="shared" si="12"/>
        <v/>
      </c>
    </row>
    <row r="5373" spans="1:2" hidden="1">
      <c r="A5373" s="187" t="str">
        <f t="shared" si="13"/>
        <v/>
      </c>
      <c r="B5373" s="187" t="str">
        <f t="shared" si="12"/>
        <v/>
      </c>
    </row>
    <row r="5374" spans="1:2" hidden="1">
      <c r="A5374" s="187" t="str">
        <f t="shared" si="13"/>
        <v/>
      </c>
      <c r="B5374" s="187" t="str">
        <f t="shared" si="12"/>
        <v/>
      </c>
    </row>
    <row r="5375" spans="1:2" hidden="1">
      <c r="A5375" s="187" t="str">
        <f t="shared" si="13"/>
        <v/>
      </c>
      <c r="B5375" s="187" t="str">
        <f t="shared" si="12"/>
        <v/>
      </c>
    </row>
    <row r="5376" spans="1:2" hidden="1">
      <c r="A5376" s="187" t="str">
        <f t="shared" si="13"/>
        <v/>
      </c>
      <c r="B5376" s="187" t="str">
        <f t="shared" si="12"/>
        <v/>
      </c>
    </row>
    <row r="5377" spans="1:2" hidden="1">
      <c r="A5377" s="187" t="str">
        <f t="shared" si="13"/>
        <v/>
      </c>
      <c r="B5377" s="187" t="str">
        <f t="shared" si="12"/>
        <v/>
      </c>
    </row>
    <row r="5378" spans="1:2" hidden="1">
      <c r="A5378" s="187" t="str">
        <f t="shared" si="13"/>
        <v/>
      </c>
      <c r="B5378" s="187" t="str">
        <f t="shared" si="12"/>
        <v/>
      </c>
    </row>
    <row r="5379" spans="1:2" hidden="1">
      <c r="A5379" s="187" t="str">
        <f t="shared" si="13"/>
        <v/>
      </c>
      <c r="B5379" s="187" t="str">
        <f t="shared" si="12"/>
        <v/>
      </c>
    </row>
    <row r="5380" spans="1:2" hidden="1">
      <c r="A5380" s="187" t="str">
        <f t="shared" si="13"/>
        <v/>
      </c>
      <c r="B5380" s="187" t="str">
        <f t="shared" si="12"/>
        <v/>
      </c>
    </row>
    <row r="5381" spans="1:2" hidden="1">
      <c r="A5381" s="187" t="str">
        <f t="shared" si="13"/>
        <v/>
      </c>
      <c r="B5381" s="187" t="str">
        <f t="shared" si="12"/>
        <v/>
      </c>
    </row>
    <row r="5382" spans="1:2" hidden="1">
      <c r="A5382" s="187" t="str">
        <f t="shared" si="13"/>
        <v/>
      </c>
      <c r="B5382" s="187" t="str">
        <f t="shared" si="12"/>
        <v/>
      </c>
    </row>
    <row r="5383" spans="1:2" hidden="1">
      <c r="A5383" s="187" t="str">
        <f t="shared" si="13"/>
        <v/>
      </c>
      <c r="B5383" s="187" t="str">
        <f t="shared" si="12"/>
        <v/>
      </c>
    </row>
    <row r="5384" spans="1:2" hidden="1">
      <c r="A5384" s="187" t="str">
        <f t="shared" si="13"/>
        <v/>
      </c>
      <c r="B5384" s="187" t="str">
        <f t="shared" si="12"/>
        <v/>
      </c>
    </row>
    <row r="5385" spans="1:2" hidden="1">
      <c r="A5385" s="187" t="str">
        <f t="shared" si="13"/>
        <v/>
      </c>
      <c r="B5385" s="187" t="str">
        <f t="shared" si="12"/>
        <v/>
      </c>
    </row>
    <row r="5386" spans="1:2" hidden="1">
      <c r="A5386" s="187" t="str">
        <f t="shared" si="13"/>
        <v/>
      </c>
      <c r="B5386" s="187" t="str">
        <f t="shared" si="12"/>
        <v/>
      </c>
    </row>
    <row r="5387" spans="1:2" hidden="1">
      <c r="A5387" s="187" t="str">
        <f t="shared" si="13"/>
        <v/>
      </c>
      <c r="B5387" s="187" t="str">
        <f t="shared" si="12"/>
        <v/>
      </c>
    </row>
    <row r="5388" spans="1:2" hidden="1">
      <c r="A5388" s="187" t="str">
        <f t="shared" si="13"/>
        <v/>
      </c>
      <c r="B5388" s="187" t="str">
        <f t="shared" si="12"/>
        <v/>
      </c>
    </row>
    <row r="5389" spans="1:2" hidden="1">
      <c r="A5389" s="187" t="str">
        <f t="shared" si="13"/>
        <v/>
      </c>
      <c r="B5389" s="187" t="str">
        <f t="shared" si="12"/>
        <v/>
      </c>
    </row>
    <row r="5390" spans="1:2" hidden="1">
      <c r="A5390" s="187" t="str">
        <f t="shared" si="13"/>
        <v/>
      </c>
      <c r="B5390" s="187" t="str">
        <f t="shared" si="12"/>
        <v/>
      </c>
    </row>
    <row r="5391" spans="1:2" hidden="1">
      <c r="A5391" s="187" t="str">
        <f t="shared" si="13"/>
        <v/>
      </c>
      <c r="B5391" s="187" t="str">
        <f t="shared" si="12"/>
        <v/>
      </c>
    </row>
    <row r="5392" spans="1:2" hidden="1">
      <c r="A5392" s="187" t="str">
        <f t="shared" si="13"/>
        <v/>
      </c>
      <c r="B5392" s="187" t="str">
        <f t="shared" si="12"/>
        <v/>
      </c>
    </row>
    <row r="5393" spans="1:2" hidden="1">
      <c r="A5393" s="187" t="str">
        <f t="shared" si="13"/>
        <v/>
      </c>
      <c r="B5393" s="187" t="str">
        <f t="shared" si="12"/>
        <v/>
      </c>
    </row>
    <row r="5394" spans="1:2" hidden="1">
      <c r="A5394" s="187" t="str">
        <f t="shared" si="13"/>
        <v/>
      </c>
      <c r="B5394" s="187" t="str">
        <f t="shared" si="12"/>
        <v/>
      </c>
    </row>
    <row r="5395" spans="1:2" hidden="1">
      <c r="A5395" s="187" t="str">
        <f t="shared" si="13"/>
        <v/>
      </c>
      <c r="B5395" s="187" t="str">
        <f t="shared" si="12"/>
        <v/>
      </c>
    </row>
    <row r="5396" spans="1:2" hidden="1">
      <c r="A5396" s="187" t="str">
        <f t="shared" si="13"/>
        <v/>
      </c>
      <c r="B5396" s="187" t="str">
        <f t="shared" si="12"/>
        <v/>
      </c>
    </row>
    <row r="5397" spans="1:2" hidden="1">
      <c r="A5397" s="187" t="str">
        <f t="shared" si="13"/>
        <v/>
      </c>
      <c r="B5397" s="187" t="str">
        <f t="shared" si="12"/>
        <v/>
      </c>
    </row>
    <row r="5398" spans="1:2" hidden="1">
      <c r="A5398" s="187" t="str">
        <f t="shared" si="13"/>
        <v/>
      </c>
      <c r="B5398" s="187" t="str">
        <f t="shared" si="12"/>
        <v/>
      </c>
    </row>
    <row r="5399" spans="1:2" hidden="1">
      <c r="A5399" s="187" t="str">
        <f t="shared" si="13"/>
        <v/>
      </c>
      <c r="B5399" s="187" t="str">
        <f t="shared" si="12"/>
        <v/>
      </c>
    </row>
    <row r="5400" spans="1:2" hidden="1">
      <c r="A5400" s="187" t="str">
        <f t="shared" si="13"/>
        <v/>
      </c>
      <c r="B5400" s="187" t="str">
        <f t="shared" si="12"/>
        <v/>
      </c>
    </row>
    <row r="5401" spans="1:2" hidden="1">
      <c r="A5401" s="187" t="str">
        <f t="shared" si="13"/>
        <v/>
      </c>
      <c r="B5401" s="187" t="str">
        <f t="shared" si="12"/>
        <v/>
      </c>
    </row>
    <row r="5402" spans="1:2" hidden="1">
      <c r="A5402" s="187" t="str">
        <f t="shared" si="13"/>
        <v/>
      </c>
      <c r="B5402" s="187" t="str">
        <f t="shared" si="12"/>
        <v/>
      </c>
    </row>
    <row r="5403" spans="1:2" hidden="1">
      <c r="A5403" s="187" t="str">
        <f t="shared" si="13"/>
        <v/>
      </c>
      <c r="B5403" s="187" t="str">
        <f t="shared" si="12"/>
        <v/>
      </c>
    </row>
    <row r="5404" spans="1:2" hidden="1">
      <c r="A5404" s="187" t="str">
        <f t="shared" si="13"/>
        <v/>
      </c>
      <c r="B5404" s="187" t="str">
        <f t="shared" ref="B5404:B5467" si="14">HYPERLINK("http://tw.stock.yahoo.com/d/s/earning_.html","")</f>
        <v/>
      </c>
    </row>
    <row r="5405" spans="1:2" hidden="1">
      <c r="A5405" s="187" t="str">
        <f t="shared" si="13"/>
        <v/>
      </c>
      <c r="B5405" s="187" t="str">
        <f t="shared" si="14"/>
        <v/>
      </c>
    </row>
    <row r="5406" spans="1:2" hidden="1">
      <c r="A5406" s="187" t="str">
        <f t="shared" si="13"/>
        <v/>
      </c>
      <c r="B5406" s="187" t="str">
        <f t="shared" si="14"/>
        <v/>
      </c>
    </row>
    <row r="5407" spans="1:2" hidden="1">
      <c r="A5407" s="187" t="str">
        <f t="shared" ref="A5407:A5470" si="15">HYPERLINK("http://tw.stock.yahoo.com/q/ta?s=","")</f>
        <v/>
      </c>
      <c r="B5407" s="187" t="str">
        <f t="shared" si="14"/>
        <v/>
      </c>
    </row>
    <row r="5408" spans="1:2" hidden="1">
      <c r="A5408" s="187" t="str">
        <f t="shared" si="15"/>
        <v/>
      </c>
      <c r="B5408" s="187" t="str">
        <f t="shared" si="14"/>
        <v/>
      </c>
    </row>
    <row r="5409" spans="1:2" hidden="1">
      <c r="A5409" s="187" t="str">
        <f t="shared" si="15"/>
        <v/>
      </c>
      <c r="B5409" s="187" t="str">
        <f t="shared" si="14"/>
        <v/>
      </c>
    </row>
    <row r="5410" spans="1:2" hidden="1">
      <c r="A5410" s="187" t="str">
        <f t="shared" si="15"/>
        <v/>
      </c>
      <c r="B5410" s="187" t="str">
        <f t="shared" si="14"/>
        <v/>
      </c>
    </row>
    <row r="5411" spans="1:2" hidden="1">
      <c r="A5411" s="187" t="str">
        <f t="shared" si="15"/>
        <v/>
      </c>
      <c r="B5411" s="187" t="str">
        <f t="shared" si="14"/>
        <v/>
      </c>
    </row>
    <row r="5412" spans="1:2" hidden="1">
      <c r="A5412" s="187" t="str">
        <f t="shared" si="15"/>
        <v/>
      </c>
      <c r="B5412" s="187" t="str">
        <f t="shared" si="14"/>
        <v/>
      </c>
    </row>
    <row r="5413" spans="1:2" hidden="1">
      <c r="A5413" s="187" t="str">
        <f t="shared" si="15"/>
        <v/>
      </c>
      <c r="B5413" s="187" t="str">
        <f t="shared" si="14"/>
        <v/>
      </c>
    </row>
    <row r="5414" spans="1:2" hidden="1">
      <c r="A5414" s="187" t="str">
        <f t="shared" si="15"/>
        <v/>
      </c>
      <c r="B5414" s="187" t="str">
        <f t="shared" si="14"/>
        <v/>
      </c>
    </row>
    <row r="5415" spans="1:2" hidden="1">
      <c r="A5415" s="187" t="str">
        <f t="shared" si="15"/>
        <v/>
      </c>
      <c r="B5415" s="187" t="str">
        <f t="shared" si="14"/>
        <v/>
      </c>
    </row>
    <row r="5416" spans="1:2" hidden="1">
      <c r="A5416" s="187" t="str">
        <f t="shared" si="15"/>
        <v/>
      </c>
      <c r="B5416" s="187" t="str">
        <f t="shared" si="14"/>
        <v/>
      </c>
    </row>
    <row r="5417" spans="1:2" hidden="1">
      <c r="A5417" s="187" t="str">
        <f t="shared" si="15"/>
        <v/>
      </c>
      <c r="B5417" s="187" t="str">
        <f t="shared" si="14"/>
        <v/>
      </c>
    </row>
    <row r="5418" spans="1:2" hidden="1">
      <c r="A5418" s="187" t="str">
        <f t="shared" si="15"/>
        <v/>
      </c>
      <c r="B5418" s="187" t="str">
        <f t="shared" si="14"/>
        <v/>
      </c>
    </row>
    <row r="5419" spans="1:2" hidden="1">
      <c r="A5419" s="187" t="str">
        <f t="shared" si="15"/>
        <v/>
      </c>
      <c r="B5419" s="187" t="str">
        <f t="shared" si="14"/>
        <v/>
      </c>
    </row>
    <row r="5420" spans="1:2" hidden="1">
      <c r="A5420" s="187" t="str">
        <f t="shared" si="15"/>
        <v/>
      </c>
      <c r="B5420" s="187" t="str">
        <f t="shared" si="14"/>
        <v/>
      </c>
    </row>
    <row r="5421" spans="1:2" hidden="1">
      <c r="A5421" s="187" t="str">
        <f t="shared" si="15"/>
        <v/>
      </c>
      <c r="B5421" s="187" t="str">
        <f t="shared" si="14"/>
        <v/>
      </c>
    </row>
    <row r="5422" spans="1:2" hidden="1">
      <c r="A5422" s="187" t="str">
        <f t="shared" si="15"/>
        <v/>
      </c>
      <c r="B5422" s="187" t="str">
        <f t="shared" si="14"/>
        <v/>
      </c>
    </row>
    <row r="5423" spans="1:2" hidden="1">
      <c r="A5423" s="187" t="str">
        <f t="shared" si="15"/>
        <v/>
      </c>
      <c r="B5423" s="187" t="str">
        <f t="shared" si="14"/>
        <v/>
      </c>
    </row>
    <row r="5424" spans="1:2" hidden="1">
      <c r="A5424" s="187" t="str">
        <f t="shared" si="15"/>
        <v/>
      </c>
      <c r="B5424" s="187" t="str">
        <f t="shared" si="14"/>
        <v/>
      </c>
    </row>
    <row r="5425" spans="1:2" hidden="1">
      <c r="A5425" s="187" t="str">
        <f t="shared" si="15"/>
        <v/>
      </c>
      <c r="B5425" s="187" t="str">
        <f t="shared" si="14"/>
        <v/>
      </c>
    </row>
    <row r="5426" spans="1:2" hidden="1">
      <c r="A5426" s="187" t="str">
        <f t="shared" si="15"/>
        <v/>
      </c>
      <c r="B5426" s="187" t="str">
        <f t="shared" si="14"/>
        <v/>
      </c>
    </row>
    <row r="5427" spans="1:2" hidden="1">
      <c r="A5427" s="187" t="str">
        <f t="shared" si="15"/>
        <v/>
      </c>
      <c r="B5427" s="187" t="str">
        <f t="shared" si="14"/>
        <v/>
      </c>
    </row>
    <row r="5428" spans="1:2" hidden="1">
      <c r="A5428" s="187" t="str">
        <f t="shared" si="15"/>
        <v/>
      </c>
      <c r="B5428" s="187" t="str">
        <f t="shared" si="14"/>
        <v/>
      </c>
    </row>
    <row r="5429" spans="1:2" hidden="1">
      <c r="A5429" s="187" t="str">
        <f t="shared" si="15"/>
        <v/>
      </c>
      <c r="B5429" s="187" t="str">
        <f t="shared" si="14"/>
        <v/>
      </c>
    </row>
    <row r="5430" spans="1:2" hidden="1">
      <c r="A5430" s="187" t="str">
        <f t="shared" si="15"/>
        <v/>
      </c>
      <c r="B5430" s="187" t="str">
        <f t="shared" si="14"/>
        <v/>
      </c>
    </row>
    <row r="5431" spans="1:2" hidden="1">
      <c r="A5431" s="187" t="str">
        <f t="shared" si="15"/>
        <v/>
      </c>
      <c r="B5431" s="187" t="str">
        <f t="shared" si="14"/>
        <v/>
      </c>
    </row>
    <row r="5432" spans="1:2" hidden="1">
      <c r="A5432" s="187" t="str">
        <f t="shared" si="15"/>
        <v/>
      </c>
      <c r="B5432" s="187" t="str">
        <f t="shared" si="14"/>
        <v/>
      </c>
    </row>
    <row r="5433" spans="1:2" hidden="1">
      <c r="A5433" s="187" t="str">
        <f t="shared" si="15"/>
        <v/>
      </c>
      <c r="B5433" s="187" t="str">
        <f t="shared" si="14"/>
        <v/>
      </c>
    </row>
    <row r="5434" spans="1:2" hidden="1">
      <c r="A5434" s="187" t="str">
        <f t="shared" si="15"/>
        <v/>
      </c>
      <c r="B5434" s="187" t="str">
        <f t="shared" si="14"/>
        <v/>
      </c>
    </row>
    <row r="5435" spans="1:2" hidden="1">
      <c r="A5435" s="187" t="str">
        <f t="shared" si="15"/>
        <v/>
      </c>
      <c r="B5435" s="187" t="str">
        <f t="shared" si="14"/>
        <v/>
      </c>
    </row>
    <row r="5436" spans="1:2" hidden="1">
      <c r="A5436" s="187" t="str">
        <f t="shared" si="15"/>
        <v/>
      </c>
      <c r="B5436" s="187" t="str">
        <f t="shared" si="14"/>
        <v/>
      </c>
    </row>
    <row r="5437" spans="1:2" hidden="1">
      <c r="A5437" s="187" t="str">
        <f t="shared" si="15"/>
        <v/>
      </c>
      <c r="B5437" s="187" t="str">
        <f t="shared" si="14"/>
        <v/>
      </c>
    </row>
    <row r="5438" spans="1:2" hidden="1">
      <c r="A5438" s="187" t="str">
        <f t="shared" si="15"/>
        <v/>
      </c>
      <c r="B5438" s="187" t="str">
        <f t="shared" si="14"/>
        <v/>
      </c>
    </row>
    <row r="5439" spans="1:2" hidden="1">
      <c r="A5439" s="187" t="str">
        <f t="shared" si="15"/>
        <v/>
      </c>
      <c r="B5439" s="187" t="str">
        <f t="shared" si="14"/>
        <v/>
      </c>
    </row>
    <row r="5440" spans="1:2" hidden="1">
      <c r="A5440" s="187" t="str">
        <f t="shared" si="15"/>
        <v/>
      </c>
      <c r="B5440" s="187" t="str">
        <f t="shared" si="14"/>
        <v/>
      </c>
    </row>
    <row r="5441" spans="1:2" hidden="1">
      <c r="A5441" s="187" t="str">
        <f t="shared" si="15"/>
        <v/>
      </c>
      <c r="B5441" s="187" t="str">
        <f t="shared" si="14"/>
        <v/>
      </c>
    </row>
    <row r="5442" spans="1:2" hidden="1">
      <c r="A5442" s="187" t="str">
        <f t="shared" si="15"/>
        <v/>
      </c>
      <c r="B5442" s="187" t="str">
        <f t="shared" si="14"/>
        <v/>
      </c>
    </row>
    <row r="5443" spans="1:2" hidden="1">
      <c r="A5443" s="187" t="str">
        <f t="shared" si="15"/>
        <v/>
      </c>
      <c r="B5443" s="187" t="str">
        <f t="shared" si="14"/>
        <v/>
      </c>
    </row>
    <row r="5444" spans="1:2" hidden="1">
      <c r="A5444" s="187" t="str">
        <f t="shared" si="15"/>
        <v/>
      </c>
      <c r="B5444" s="187" t="str">
        <f t="shared" si="14"/>
        <v/>
      </c>
    </row>
    <row r="5445" spans="1:2" hidden="1">
      <c r="A5445" s="187" t="str">
        <f t="shared" si="15"/>
        <v/>
      </c>
      <c r="B5445" s="187" t="str">
        <f t="shared" si="14"/>
        <v/>
      </c>
    </row>
    <row r="5446" spans="1:2" hidden="1">
      <c r="A5446" s="187" t="str">
        <f t="shared" si="15"/>
        <v/>
      </c>
      <c r="B5446" s="187" t="str">
        <f t="shared" si="14"/>
        <v/>
      </c>
    </row>
    <row r="5447" spans="1:2" hidden="1">
      <c r="A5447" s="187" t="str">
        <f t="shared" si="15"/>
        <v/>
      </c>
      <c r="B5447" s="187" t="str">
        <f t="shared" si="14"/>
        <v/>
      </c>
    </row>
    <row r="5448" spans="1:2" hidden="1">
      <c r="A5448" s="187" t="str">
        <f t="shared" si="15"/>
        <v/>
      </c>
      <c r="B5448" s="187" t="str">
        <f t="shared" si="14"/>
        <v/>
      </c>
    </row>
    <row r="5449" spans="1:2" hidden="1">
      <c r="A5449" s="187" t="str">
        <f t="shared" si="15"/>
        <v/>
      </c>
      <c r="B5449" s="187" t="str">
        <f t="shared" si="14"/>
        <v/>
      </c>
    </row>
    <row r="5450" spans="1:2" hidden="1">
      <c r="A5450" s="187" t="str">
        <f t="shared" si="15"/>
        <v/>
      </c>
      <c r="B5450" s="187" t="str">
        <f t="shared" si="14"/>
        <v/>
      </c>
    </row>
    <row r="5451" spans="1:2" hidden="1">
      <c r="A5451" s="187" t="str">
        <f t="shared" si="15"/>
        <v/>
      </c>
      <c r="B5451" s="187" t="str">
        <f t="shared" si="14"/>
        <v/>
      </c>
    </row>
    <row r="5452" spans="1:2" hidden="1">
      <c r="A5452" s="187" t="str">
        <f t="shared" si="15"/>
        <v/>
      </c>
      <c r="B5452" s="187" t="str">
        <f t="shared" si="14"/>
        <v/>
      </c>
    </row>
    <row r="5453" spans="1:2" hidden="1">
      <c r="A5453" s="187" t="str">
        <f t="shared" si="15"/>
        <v/>
      </c>
      <c r="B5453" s="187" t="str">
        <f t="shared" si="14"/>
        <v/>
      </c>
    </row>
    <row r="5454" spans="1:2" hidden="1">
      <c r="A5454" s="187" t="str">
        <f t="shared" si="15"/>
        <v/>
      </c>
      <c r="B5454" s="187" t="str">
        <f t="shared" si="14"/>
        <v/>
      </c>
    </row>
    <row r="5455" spans="1:2" hidden="1">
      <c r="A5455" s="187" t="str">
        <f t="shared" si="15"/>
        <v/>
      </c>
      <c r="B5455" s="187" t="str">
        <f t="shared" si="14"/>
        <v/>
      </c>
    </row>
    <row r="5456" spans="1:2" hidden="1">
      <c r="A5456" s="187" t="str">
        <f t="shared" si="15"/>
        <v/>
      </c>
      <c r="B5456" s="187" t="str">
        <f t="shared" si="14"/>
        <v/>
      </c>
    </row>
    <row r="5457" spans="1:2" hidden="1">
      <c r="A5457" s="187" t="str">
        <f t="shared" si="15"/>
        <v/>
      </c>
      <c r="B5457" s="187" t="str">
        <f t="shared" si="14"/>
        <v/>
      </c>
    </row>
    <row r="5458" spans="1:2" hidden="1">
      <c r="A5458" s="187" t="str">
        <f t="shared" si="15"/>
        <v/>
      </c>
      <c r="B5458" s="187" t="str">
        <f t="shared" si="14"/>
        <v/>
      </c>
    </row>
    <row r="5459" spans="1:2" hidden="1">
      <c r="A5459" s="187" t="str">
        <f t="shared" si="15"/>
        <v/>
      </c>
      <c r="B5459" s="187" t="str">
        <f t="shared" si="14"/>
        <v/>
      </c>
    </row>
    <row r="5460" spans="1:2" hidden="1">
      <c r="A5460" s="187" t="str">
        <f t="shared" si="15"/>
        <v/>
      </c>
      <c r="B5460" s="187" t="str">
        <f t="shared" si="14"/>
        <v/>
      </c>
    </row>
    <row r="5461" spans="1:2" hidden="1">
      <c r="A5461" s="187" t="str">
        <f t="shared" si="15"/>
        <v/>
      </c>
      <c r="B5461" s="187" t="str">
        <f t="shared" si="14"/>
        <v/>
      </c>
    </row>
    <row r="5462" spans="1:2" hidden="1">
      <c r="A5462" s="187" t="str">
        <f t="shared" si="15"/>
        <v/>
      </c>
      <c r="B5462" s="187" t="str">
        <f t="shared" si="14"/>
        <v/>
      </c>
    </row>
    <row r="5463" spans="1:2" hidden="1">
      <c r="A5463" s="187" t="str">
        <f t="shared" si="15"/>
        <v/>
      </c>
      <c r="B5463" s="187" t="str">
        <f t="shared" si="14"/>
        <v/>
      </c>
    </row>
    <row r="5464" spans="1:2" hidden="1">
      <c r="A5464" s="187" t="str">
        <f t="shared" si="15"/>
        <v/>
      </c>
      <c r="B5464" s="187" t="str">
        <f t="shared" si="14"/>
        <v/>
      </c>
    </row>
    <row r="5465" spans="1:2" hidden="1">
      <c r="A5465" s="187" t="str">
        <f t="shared" si="15"/>
        <v/>
      </c>
      <c r="B5465" s="187" t="str">
        <f t="shared" si="14"/>
        <v/>
      </c>
    </row>
    <row r="5466" spans="1:2" hidden="1">
      <c r="A5466" s="187" t="str">
        <f t="shared" si="15"/>
        <v/>
      </c>
      <c r="B5466" s="187" t="str">
        <f t="shared" si="14"/>
        <v/>
      </c>
    </row>
    <row r="5467" spans="1:2" hidden="1">
      <c r="A5467" s="187" t="str">
        <f t="shared" si="15"/>
        <v/>
      </c>
      <c r="B5467" s="187" t="str">
        <f t="shared" si="14"/>
        <v/>
      </c>
    </row>
    <row r="5468" spans="1:2" hidden="1">
      <c r="A5468" s="187" t="str">
        <f t="shared" si="15"/>
        <v/>
      </c>
      <c r="B5468" s="187" t="str">
        <f t="shared" ref="B5468:B5531" si="16">HYPERLINK("http://tw.stock.yahoo.com/d/s/earning_.html","")</f>
        <v/>
      </c>
    </row>
    <row r="5469" spans="1:2" hidden="1">
      <c r="A5469" s="187" t="str">
        <f t="shared" si="15"/>
        <v/>
      </c>
      <c r="B5469" s="187" t="str">
        <f t="shared" si="16"/>
        <v/>
      </c>
    </row>
    <row r="5470" spans="1:2" hidden="1">
      <c r="A5470" s="187" t="str">
        <f t="shared" si="15"/>
        <v/>
      </c>
      <c r="B5470" s="187" t="str">
        <f t="shared" si="16"/>
        <v/>
      </c>
    </row>
    <row r="5471" spans="1:2" hidden="1">
      <c r="A5471" s="187" t="str">
        <f t="shared" ref="A5471:A5534" si="17">HYPERLINK("http://tw.stock.yahoo.com/q/ta?s=","")</f>
        <v/>
      </c>
      <c r="B5471" s="187" t="str">
        <f t="shared" si="16"/>
        <v/>
      </c>
    </row>
    <row r="5472" spans="1:2" hidden="1">
      <c r="A5472" s="187" t="str">
        <f t="shared" si="17"/>
        <v/>
      </c>
      <c r="B5472" s="187" t="str">
        <f t="shared" si="16"/>
        <v/>
      </c>
    </row>
    <row r="5473" spans="1:2" hidden="1">
      <c r="A5473" s="187" t="str">
        <f t="shared" si="17"/>
        <v/>
      </c>
      <c r="B5473" s="187" t="str">
        <f t="shared" si="16"/>
        <v/>
      </c>
    </row>
    <row r="5474" spans="1:2" hidden="1">
      <c r="A5474" s="187" t="str">
        <f t="shared" si="17"/>
        <v/>
      </c>
      <c r="B5474" s="187" t="str">
        <f t="shared" si="16"/>
        <v/>
      </c>
    </row>
    <row r="5475" spans="1:2" hidden="1">
      <c r="A5475" s="187" t="str">
        <f t="shared" si="17"/>
        <v/>
      </c>
      <c r="B5475" s="187" t="str">
        <f t="shared" si="16"/>
        <v/>
      </c>
    </row>
    <row r="5476" spans="1:2" hidden="1">
      <c r="A5476" s="187" t="str">
        <f t="shared" si="17"/>
        <v/>
      </c>
      <c r="B5476" s="187" t="str">
        <f t="shared" si="16"/>
        <v/>
      </c>
    </row>
    <row r="5477" spans="1:2" hidden="1">
      <c r="A5477" s="187" t="str">
        <f t="shared" si="17"/>
        <v/>
      </c>
      <c r="B5477" s="187" t="str">
        <f t="shared" si="16"/>
        <v/>
      </c>
    </row>
    <row r="5478" spans="1:2" hidden="1">
      <c r="A5478" s="187" t="str">
        <f t="shared" si="17"/>
        <v/>
      </c>
      <c r="B5478" s="187" t="str">
        <f t="shared" si="16"/>
        <v/>
      </c>
    </row>
    <row r="5479" spans="1:2" hidden="1">
      <c r="A5479" s="187" t="str">
        <f t="shared" si="17"/>
        <v/>
      </c>
      <c r="B5479" s="187" t="str">
        <f t="shared" si="16"/>
        <v/>
      </c>
    </row>
    <row r="5480" spans="1:2" hidden="1">
      <c r="A5480" s="187" t="str">
        <f t="shared" si="17"/>
        <v/>
      </c>
      <c r="B5480" s="187" t="str">
        <f t="shared" si="16"/>
        <v/>
      </c>
    </row>
    <row r="5481" spans="1:2" hidden="1">
      <c r="A5481" s="187" t="str">
        <f t="shared" si="17"/>
        <v/>
      </c>
      <c r="B5481" s="187" t="str">
        <f t="shared" si="16"/>
        <v/>
      </c>
    </row>
    <row r="5482" spans="1:2" hidden="1">
      <c r="A5482" s="187" t="str">
        <f t="shared" si="17"/>
        <v/>
      </c>
      <c r="B5482" s="187" t="str">
        <f t="shared" si="16"/>
        <v/>
      </c>
    </row>
    <row r="5483" spans="1:2" hidden="1">
      <c r="A5483" s="187" t="str">
        <f t="shared" si="17"/>
        <v/>
      </c>
      <c r="B5483" s="187" t="str">
        <f t="shared" si="16"/>
        <v/>
      </c>
    </row>
    <row r="5484" spans="1:2" hidden="1">
      <c r="A5484" s="187" t="str">
        <f t="shared" si="17"/>
        <v/>
      </c>
      <c r="B5484" s="187" t="str">
        <f t="shared" si="16"/>
        <v/>
      </c>
    </row>
    <row r="5485" spans="1:2" hidden="1">
      <c r="A5485" s="187" t="str">
        <f t="shared" si="17"/>
        <v/>
      </c>
      <c r="B5485" s="187" t="str">
        <f t="shared" si="16"/>
        <v/>
      </c>
    </row>
    <row r="5486" spans="1:2" hidden="1">
      <c r="A5486" s="187" t="str">
        <f t="shared" si="17"/>
        <v/>
      </c>
      <c r="B5486" s="187" t="str">
        <f t="shared" si="16"/>
        <v/>
      </c>
    </row>
    <row r="5487" spans="1:2" hidden="1">
      <c r="A5487" s="187" t="str">
        <f t="shared" si="17"/>
        <v/>
      </c>
      <c r="B5487" s="187" t="str">
        <f t="shared" si="16"/>
        <v/>
      </c>
    </row>
    <row r="5488" spans="1:2" hidden="1">
      <c r="A5488" s="187" t="str">
        <f t="shared" si="17"/>
        <v/>
      </c>
      <c r="B5488" s="187" t="str">
        <f t="shared" si="16"/>
        <v/>
      </c>
    </row>
    <row r="5489" spans="1:2" hidden="1">
      <c r="A5489" s="187" t="str">
        <f t="shared" si="17"/>
        <v/>
      </c>
      <c r="B5489" s="187" t="str">
        <f t="shared" si="16"/>
        <v/>
      </c>
    </row>
    <row r="5490" spans="1:2" hidden="1">
      <c r="A5490" s="187" t="str">
        <f t="shared" si="17"/>
        <v/>
      </c>
      <c r="B5490" s="187" t="str">
        <f t="shared" si="16"/>
        <v/>
      </c>
    </row>
    <row r="5491" spans="1:2" hidden="1">
      <c r="A5491" s="187" t="str">
        <f t="shared" si="17"/>
        <v/>
      </c>
      <c r="B5491" s="187" t="str">
        <f t="shared" si="16"/>
        <v/>
      </c>
    </row>
    <row r="5492" spans="1:2" hidden="1">
      <c r="A5492" s="187" t="str">
        <f t="shared" si="17"/>
        <v/>
      </c>
      <c r="B5492" s="187" t="str">
        <f t="shared" si="16"/>
        <v/>
      </c>
    </row>
    <row r="5493" spans="1:2" hidden="1">
      <c r="A5493" s="187" t="str">
        <f t="shared" si="17"/>
        <v/>
      </c>
      <c r="B5493" s="187" t="str">
        <f t="shared" si="16"/>
        <v/>
      </c>
    </row>
    <row r="5494" spans="1:2" hidden="1">
      <c r="A5494" s="187" t="str">
        <f t="shared" si="17"/>
        <v/>
      </c>
      <c r="B5494" s="187" t="str">
        <f t="shared" si="16"/>
        <v/>
      </c>
    </row>
    <row r="5495" spans="1:2" hidden="1">
      <c r="A5495" s="187" t="str">
        <f t="shared" si="17"/>
        <v/>
      </c>
      <c r="B5495" s="187" t="str">
        <f t="shared" si="16"/>
        <v/>
      </c>
    </row>
    <row r="5496" spans="1:2" hidden="1">
      <c r="A5496" s="187" t="str">
        <f t="shared" si="17"/>
        <v/>
      </c>
      <c r="B5496" s="187" t="str">
        <f t="shared" si="16"/>
        <v/>
      </c>
    </row>
    <row r="5497" spans="1:2" hidden="1">
      <c r="A5497" s="187" t="str">
        <f t="shared" si="17"/>
        <v/>
      </c>
      <c r="B5497" s="187" t="str">
        <f t="shared" si="16"/>
        <v/>
      </c>
    </row>
    <row r="5498" spans="1:2" hidden="1">
      <c r="A5498" s="187" t="str">
        <f t="shared" si="17"/>
        <v/>
      </c>
      <c r="B5498" s="187" t="str">
        <f t="shared" si="16"/>
        <v/>
      </c>
    </row>
    <row r="5499" spans="1:2" hidden="1">
      <c r="A5499" s="187" t="str">
        <f t="shared" si="17"/>
        <v/>
      </c>
      <c r="B5499" s="187" t="str">
        <f t="shared" si="16"/>
        <v/>
      </c>
    </row>
    <row r="5500" spans="1:2" hidden="1">
      <c r="A5500" s="187" t="str">
        <f t="shared" si="17"/>
        <v/>
      </c>
      <c r="B5500" s="187" t="str">
        <f t="shared" si="16"/>
        <v/>
      </c>
    </row>
    <row r="5501" spans="1:2" hidden="1">
      <c r="A5501" s="187" t="str">
        <f t="shared" si="17"/>
        <v/>
      </c>
      <c r="B5501" s="187" t="str">
        <f t="shared" si="16"/>
        <v/>
      </c>
    </row>
    <row r="5502" spans="1:2" hidden="1">
      <c r="A5502" s="187" t="str">
        <f t="shared" si="17"/>
        <v/>
      </c>
      <c r="B5502" s="187" t="str">
        <f t="shared" si="16"/>
        <v/>
      </c>
    </row>
    <row r="5503" spans="1:2" hidden="1">
      <c r="A5503" s="187" t="str">
        <f t="shared" si="17"/>
        <v/>
      </c>
      <c r="B5503" s="187" t="str">
        <f t="shared" si="16"/>
        <v/>
      </c>
    </row>
    <row r="5504" spans="1:2" hidden="1">
      <c r="A5504" s="187" t="str">
        <f t="shared" si="17"/>
        <v/>
      </c>
      <c r="B5504" s="187" t="str">
        <f t="shared" si="16"/>
        <v/>
      </c>
    </row>
    <row r="5505" spans="1:2" hidden="1">
      <c r="A5505" s="187" t="str">
        <f t="shared" si="17"/>
        <v/>
      </c>
      <c r="B5505" s="187" t="str">
        <f t="shared" si="16"/>
        <v/>
      </c>
    </row>
    <row r="5506" spans="1:2" hidden="1">
      <c r="A5506" s="187" t="str">
        <f t="shared" si="17"/>
        <v/>
      </c>
      <c r="B5506" s="187" t="str">
        <f t="shared" si="16"/>
        <v/>
      </c>
    </row>
    <row r="5507" spans="1:2" hidden="1">
      <c r="A5507" s="187" t="str">
        <f t="shared" si="17"/>
        <v/>
      </c>
      <c r="B5507" s="187" t="str">
        <f t="shared" si="16"/>
        <v/>
      </c>
    </row>
    <row r="5508" spans="1:2" hidden="1">
      <c r="A5508" s="187" t="str">
        <f t="shared" si="17"/>
        <v/>
      </c>
      <c r="B5508" s="187" t="str">
        <f t="shared" si="16"/>
        <v/>
      </c>
    </row>
    <row r="5509" spans="1:2" hidden="1">
      <c r="A5509" s="187" t="str">
        <f t="shared" si="17"/>
        <v/>
      </c>
      <c r="B5509" s="187" t="str">
        <f t="shared" si="16"/>
        <v/>
      </c>
    </row>
    <row r="5510" spans="1:2" hidden="1">
      <c r="A5510" s="187" t="str">
        <f t="shared" si="17"/>
        <v/>
      </c>
      <c r="B5510" s="187" t="str">
        <f t="shared" si="16"/>
        <v/>
      </c>
    </row>
    <row r="5511" spans="1:2" hidden="1">
      <c r="A5511" s="187" t="str">
        <f t="shared" si="17"/>
        <v/>
      </c>
      <c r="B5511" s="187" t="str">
        <f t="shared" si="16"/>
        <v/>
      </c>
    </row>
    <row r="5512" spans="1:2" hidden="1">
      <c r="A5512" s="187" t="str">
        <f t="shared" si="17"/>
        <v/>
      </c>
      <c r="B5512" s="187" t="str">
        <f t="shared" si="16"/>
        <v/>
      </c>
    </row>
    <row r="5513" spans="1:2" hidden="1">
      <c r="A5513" s="187" t="str">
        <f t="shared" si="17"/>
        <v/>
      </c>
      <c r="B5513" s="187" t="str">
        <f t="shared" si="16"/>
        <v/>
      </c>
    </row>
    <row r="5514" spans="1:2" hidden="1">
      <c r="A5514" s="187" t="str">
        <f t="shared" si="17"/>
        <v/>
      </c>
      <c r="B5514" s="187" t="str">
        <f t="shared" si="16"/>
        <v/>
      </c>
    </row>
    <row r="5515" spans="1:2" hidden="1">
      <c r="A5515" s="187" t="str">
        <f t="shared" si="17"/>
        <v/>
      </c>
      <c r="B5515" s="187" t="str">
        <f t="shared" si="16"/>
        <v/>
      </c>
    </row>
    <row r="5516" spans="1:2" hidden="1">
      <c r="A5516" s="187" t="str">
        <f t="shared" si="17"/>
        <v/>
      </c>
      <c r="B5516" s="187" t="str">
        <f t="shared" si="16"/>
        <v/>
      </c>
    </row>
    <row r="5517" spans="1:2" hidden="1">
      <c r="A5517" s="187" t="str">
        <f t="shared" si="17"/>
        <v/>
      </c>
      <c r="B5517" s="187" t="str">
        <f t="shared" si="16"/>
        <v/>
      </c>
    </row>
    <row r="5518" spans="1:2" hidden="1">
      <c r="A5518" s="187" t="str">
        <f t="shared" si="17"/>
        <v/>
      </c>
      <c r="B5518" s="187" t="str">
        <f t="shared" si="16"/>
        <v/>
      </c>
    </row>
    <row r="5519" spans="1:2" hidden="1">
      <c r="A5519" s="187" t="str">
        <f t="shared" si="17"/>
        <v/>
      </c>
      <c r="B5519" s="187" t="str">
        <f t="shared" si="16"/>
        <v/>
      </c>
    </row>
    <row r="5520" spans="1:2" hidden="1">
      <c r="A5520" s="187" t="str">
        <f t="shared" si="17"/>
        <v/>
      </c>
      <c r="B5520" s="187" t="str">
        <f t="shared" si="16"/>
        <v/>
      </c>
    </row>
    <row r="5521" spans="1:2" hidden="1">
      <c r="A5521" s="187" t="str">
        <f t="shared" si="17"/>
        <v/>
      </c>
      <c r="B5521" s="187" t="str">
        <f t="shared" si="16"/>
        <v/>
      </c>
    </row>
    <row r="5522" spans="1:2" hidden="1">
      <c r="A5522" s="187" t="str">
        <f t="shared" si="17"/>
        <v/>
      </c>
      <c r="B5522" s="187" t="str">
        <f t="shared" si="16"/>
        <v/>
      </c>
    </row>
    <row r="5523" spans="1:2" hidden="1">
      <c r="A5523" s="187" t="str">
        <f t="shared" si="17"/>
        <v/>
      </c>
      <c r="B5523" s="187" t="str">
        <f t="shared" si="16"/>
        <v/>
      </c>
    </row>
    <row r="5524" spans="1:2" hidden="1">
      <c r="A5524" s="187" t="str">
        <f t="shared" si="17"/>
        <v/>
      </c>
      <c r="B5524" s="187" t="str">
        <f t="shared" si="16"/>
        <v/>
      </c>
    </row>
    <row r="5525" spans="1:2" hidden="1">
      <c r="A5525" s="187" t="str">
        <f t="shared" si="17"/>
        <v/>
      </c>
      <c r="B5525" s="187" t="str">
        <f t="shared" si="16"/>
        <v/>
      </c>
    </row>
    <row r="5526" spans="1:2" hidden="1">
      <c r="A5526" s="187" t="str">
        <f t="shared" si="17"/>
        <v/>
      </c>
      <c r="B5526" s="187" t="str">
        <f t="shared" si="16"/>
        <v/>
      </c>
    </row>
    <row r="5527" spans="1:2" hidden="1">
      <c r="A5527" s="187" t="str">
        <f t="shared" si="17"/>
        <v/>
      </c>
      <c r="B5527" s="187" t="str">
        <f t="shared" si="16"/>
        <v/>
      </c>
    </row>
    <row r="5528" spans="1:2" hidden="1">
      <c r="A5528" s="187" t="str">
        <f t="shared" si="17"/>
        <v/>
      </c>
      <c r="B5528" s="187" t="str">
        <f t="shared" si="16"/>
        <v/>
      </c>
    </row>
    <row r="5529" spans="1:2" hidden="1">
      <c r="A5529" s="187" t="str">
        <f t="shared" si="17"/>
        <v/>
      </c>
      <c r="B5529" s="187" t="str">
        <f t="shared" si="16"/>
        <v/>
      </c>
    </row>
    <row r="5530" spans="1:2" hidden="1">
      <c r="A5530" s="187" t="str">
        <f t="shared" si="17"/>
        <v/>
      </c>
      <c r="B5530" s="187" t="str">
        <f t="shared" si="16"/>
        <v/>
      </c>
    </row>
    <row r="5531" spans="1:2" hidden="1">
      <c r="A5531" s="187" t="str">
        <f t="shared" si="17"/>
        <v/>
      </c>
      <c r="B5531" s="187" t="str">
        <f t="shared" si="16"/>
        <v/>
      </c>
    </row>
    <row r="5532" spans="1:2" hidden="1">
      <c r="A5532" s="187" t="str">
        <f t="shared" si="17"/>
        <v/>
      </c>
      <c r="B5532" s="187" t="str">
        <f t="shared" ref="B5532:B5595" si="18">HYPERLINK("http://tw.stock.yahoo.com/d/s/earning_.html","")</f>
        <v/>
      </c>
    </row>
    <row r="5533" spans="1:2" hidden="1">
      <c r="A5533" s="187" t="str">
        <f t="shared" si="17"/>
        <v/>
      </c>
      <c r="B5533" s="187" t="str">
        <f t="shared" si="18"/>
        <v/>
      </c>
    </row>
    <row r="5534" spans="1:2" hidden="1">
      <c r="A5534" s="187" t="str">
        <f t="shared" si="17"/>
        <v/>
      </c>
      <c r="B5534" s="187" t="str">
        <f t="shared" si="18"/>
        <v/>
      </c>
    </row>
    <row r="5535" spans="1:2" hidden="1">
      <c r="A5535" s="187" t="str">
        <f t="shared" ref="A5535:A5598" si="19">HYPERLINK("http://tw.stock.yahoo.com/q/ta?s=","")</f>
        <v/>
      </c>
      <c r="B5535" s="187" t="str">
        <f t="shared" si="18"/>
        <v/>
      </c>
    </row>
    <row r="5536" spans="1:2" hidden="1">
      <c r="A5536" s="187" t="str">
        <f t="shared" si="19"/>
        <v/>
      </c>
      <c r="B5536" s="187" t="str">
        <f t="shared" si="18"/>
        <v/>
      </c>
    </row>
    <row r="5537" spans="1:2" hidden="1">
      <c r="A5537" s="187" t="str">
        <f t="shared" si="19"/>
        <v/>
      </c>
      <c r="B5537" s="187" t="str">
        <f t="shared" si="18"/>
        <v/>
      </c>
    </row>
    <row r="5538" spans="1:2" hidden="1">
      <c r="A5538" s="187" t="str">
        <f t="shared" si="19"/>
        <v/>
      </c>
      <c r="B5538" s="187" t="str">
        <f t="shared" si="18"/>
        <v/>
      </c>
    </row>
    <row r="5539" spans="1:2" hidden="1">
      <c r="A5539" s="187" t="str">
        <f t="shared" si="19"/>
        <v/>
      </c>
      <c r="B5539" s="187" t="str">
        <f t="shared" si="18"/>
        <v/>
      </c>
    </row>
    <row r="5540" spans="1:2" hidden="1">
      <c r="A5540" s="187" t="str">
        <f t="shared" si="19"/>
        <v/>
      </c>
      <c r="B5540" s="187" t="str">
        <f t="shared" si="18"/>
        <v/>
      </c>
    </row>
    <row r="5541" spans="1:2" hidden="1">
      <c r="A5541" s="187" t="str">
        <f t="shared" si="19"/>
        <v/>
      </c>
      <c r="B5541" s="187" t="str">
        <f t="shared" si="18"/>
        <v/>
      </c>
    </row>
    <row r="5542" spans="1:2" hidden="1">
      <c r="A5542" s="187" t="str">
        <f t="shared" si="19"/>
        <v/>
      </c>
      <c r="B5542" s="187" t="str">
        <f t="shared" si="18"/>
        <v/>
      </c>
    </row>
    <row r="5543" spans="1:2" hidden="1">
      <c r="A5543" s="187" t="str">
        <f t="shared" si="19"/>
        <v/>
      </c>
      <c r="B5543" s="187" t="str">
        <f t="shared" si="18"/>
        <v/>
      </c>
    </row>
    <row r="5544" spans="1:2" hidden="1">
      <c r="A5544" s="187" t="str">
        <f t="shared" si="19"/>
        <v/>
      </c>
      <c r="B5544" s="187" t="str">
        <f t="shared" si="18"/>
        <v/>
      </c>
    </row>
    <row r="5545" spans="1:2" hidden="1">
      <c r="A5545" s="187" t="str">
        <f t="shared" si="19"/>
        <v/>
      </c>
      <c r="B5545" s="187" t="str">
        <f t="shared" si="18"/>
        <v/>
      </c>
    </row>
    <row r="5546" spans="1:2" hidden="1">
      <c r="A5546" s="187" t="str">
        <f t="shared" si="19"/>
        <v/>
      </c>
      <c r="B5546" s="187" t="str">
        <f t="shared" si="18"/>
        <v/>
      </c>
    </row>
    <row r="5547" spans="1:2" hidden="1">
      <c r="A5547" s="187" t="str">
        <f t="shared" si="19"/>
        <v/>
      </c>
      <c r="B5547" s="187" t="str">
        <f t="shared" si="18"/>
        <v/>
      </c>
    </row>
    <row r="5548" spans="1:2" hidden="1">
      <c r="A5548" s="187" t="str">
        <f t="shared" si="19"/>
        <v/>
      </c>
      <c r="B5548" s="187" t="str">
        <f t="shared" si="18"/>
        <v/>
      </c>
    </row>
    <row r="5549" spans="1:2" hidden="1">
      <c r="A5549" s="187" t="str">
        <f t="shared" si="19"/>
        <v/>
      </c>
      <c r="B5549" s="187" t="str">
        <f t="shared" si="18"/>
        <v/>
      </c>
    </row>
    <row r="5550" spans="1:2" hidden="1">
      <c r="A5550" s="187" t="str">
        <f t="shared" si="19"/>
        <v/>
      </c>
      <c r="B5550" s="187" t="str">
        <f t="shared" si="18"/>
        <v/>
      </c>
    </row>
    <row r="5551" spans="1:2" hidden="1">
      <c r="A5551" s="187" t="str">
        <f t="shared" si="19"/>
        <v/>
      </c>
      <c r="B5551" s="187" t="str">
        <f t="shared" si="18"/>
        <v/>
      </c>
    </row>
    <row r="5552" spans="1:2" hidden="1">
      <c r="A5552" s="187" t="str">
        <f t="shared" si="19"/>
        <v/>
      </c>
      <c r="B5552" s="187" t="str">
        <f t="shared" si="18"/>
        <v/>
      </c>
    </row>
    <row r="5553" spans="1:2" hidden="1">
      <c r="A5553" s="187" t="str">
        <f t="shared" si="19"/>
        <v/>
      </c>
      <c r="B5553" s="187" t="str">
        <f t="shared" si="18"/>
        <v/>
      </c>
    </row>
    <row r="5554" spans="1:2" hidden="1">
      <c r="A5554" s="187" t="str">
        <f t="shared" si="19"/>
        <v/>
      </c>
      <c r="B5554" s="187" t="str">
        <f t="shared" si="18"/>
        <v/>
      </c>
    </row>
    <row r="5555" spans="1:2" hidden="1">
      <c r="A5555" s="187" t="str">
        <f t="shared" si="19"/>
        <v/>
      </c>
      <c r="B5555" s="187" t="str">
        <f t="shared" si="18"/>
        <v/>
      </c>
    </row>
    <row r="5556" spans="1:2" hidden="1">
      <c r="A5556" s="187" t="str">
        <f t="shared" si="19"/>
        <v/>
      </c>
      <c r="B5556" s="187" t="str">
        <f t="shared" si="18"/>
        <v/>
      </c>
    </row>
    <row r="5557" spans="1:2" hidden="1">
      <c r="A5557" s="187" t="str">
        <f t="shared" si="19"/>
        <v/>
      </c>
      <c r="B5557" s="187" t="str">
        <f t="shared" si="18"/>
        <v/>
      </c>
    </row>
    <row r="5558" spans="1:2" hidden="1">
      <c r="A5558" s="187" t="str">
        <f t="shared" si="19"/>
        <v/>
      </c>
      <c r="B5558" s="187" t="str">
        <f t="shared" si="18"/>
        <v/>
      </c>
    </row>
    <row r="5559" spans="1:2" hidden="1">
      <c r="A5559" s="187" t="str">
        <f t="shared" si="19"/>
        <v/>
      </c>
      <c r="B5559" s="187" t="str">
        <f t="shared" si="18"/>
        <v/>
      </c>
    </row>
    <row r="5560" spans="1:2" hidden="1">
      <c r="A5560" s="187" t="str">
        <f t="shared" si="19"/>
        <v/>
      </c>
      <c r="B5560" s="187" t="str">
        <f t="shared" si="18"/>
        <v/>
      </c>
    </row>
    <row r="5561" spans="1:2" hidden="1">
      <c r="A5561" s="187" t="str">
        <f t="shared" si="19"/>
        <v/>
      </c>
      <c r="B5561" s="187" t="str">
        <f t="shared" si="18"/>
        <v/>
      </c>
    </row>
    <row r="5562" spans="1:2" hidden="1">
      <c r="A5562" s="187" t="str">
        <f t="shared" si="19"/>
        <v/>
      </c>
      <c r="B5562" s="187" t="str">
        <f t="shared" si="18"/>
        <v/>
      </c>
    </row>
    <row r="5563" spans="1:2" hidden="1">
      <c r="A5563" s="187" t="str">
        <f t="shared" si="19"/>
        <v/>
      </c>
      <c r="B5563" s="187" t="str">
        <f t="shared" si="18"/>
        <v/>
      </c>
    </row>
    <row r="5564" spans="1:2" hidden="1">
      <c r="A5564" s="187" t="str">
        <f t="shared" si="19"/>
        <v/>
      </c>
      <c r="B5564" s="187" t="str">
        <f t="shared" si="18"/>
        <v/>
      </c>
    </row>
    <row r="5565" spans="1:2" hidden="1">
      <c r="A5565" s="187" t="str">
        <f t="shared" si="19"/>
        <v/>
      </c>
      <c r="B5565" s="187" t="str">
        <f t="shared" si="18"/>
        <v/>
      </c>
    </row>
    <row r="5566" spans="1:2" hidden="1">
      <c r="A5566" s="187" t="str">
        <f t="shared" si="19"/>
        <v/>
      </c>
      <c r="B5566" s="187" t="str">
        <f t="shared" si="18"/>
        <v/>
      </c>
    </row>
    <row r="5567" spans="1:2" hidden="1">
      <c r="A5567" s="187" t="str">
        <f t="shared" si="19"/>
        <v/>
      </c>
      <c r="B5567" s="187" t="str">
        <f t="shared" si="18"/>
        <v/>
      </c>
    </row>
    <row r="5568" spans="1:2" hidden="1">
      <c r="A5568" s="187" t="str">
        <f t="shared" si="19"/>
        <v/>
      </c>
      <c r="B5568" s="187" t="str">
        <f t="shared" si="18"/>
        <v/>
      </c>
    </row>
    <row r="5569" spans="1:2" hidden="1">
      <c r="A5569" s="187" t="str">
        <f t="shared" si="19"/>
        <v/>
      </c>
      <c r="B5569" s="187" t="str">
        <f t="shared" si="18"/>
        <v/>
      </c>
    </row>
    <row r="5570" spans="1:2" hidden="1">
      <c r="A5570" s="187" t="str">
        <f t="shared" si="19"/>
        <v/>
      </c>
      <c r="B5570" s="187" t="str">
        <f t="shared" si="18"/>
        <v/>
      </c>
    </row>
    <row r="5571" spans="1:2" hidden="1">
      <c r="A5571" s="187" t="str">
        <f t="shared" si="19"/>
        <v/>
      </c>
      <c r="B5571" s="187" t="str">
        <f t="shared" si="18"/>
        <v/>
      </c>
    </row>
    <row r="5572" spans="1:2" hidden="1">
      <c r="A5572" s="187" t="str">
        <f t="shared" si="19"/>
        <v/>
      </c>
      <c r="B5572" s="187" t="str">
        <f t="shared" si="18"/>
        <v/>
      </c>
    </row>
    <row r="5573" spans="1:2" hidden="1">
      <c r="A5573" s="187" t="str">
        <f t="shared" si="19"/>
        <v/>
      </c>
      <c r="B5573" s="187" t="str">
        <f t="shared" si="18"/>
        <v/>
      </c>
    </row>
    <row r="5574" spans="1:2" hidden="1">
      <c r="A5574" s="187" t="str">
        <f t="shared" si="19"/>
        <v/>
      </c>
      <c r="B5574" s="187" t="str">
        <f t="shared" si="18"/>
        <v/>
      </c>
    </row>
    <row r="5575" spans="1:2" hidden="1">
      <c r="A5575" s="187" t="str">
        <f t="shared" si="19"/>
        <v/>
      </c>
      <c r="B5575" s="187" t="str">
        <f t="shared" si="18"/>
        <v/>
      </c>
    </row>
    <row r="5576" spans="1:2" hidden="1">
      <c r="A5576" s="187" t="str">
        <f t="shared" si="19"/>
        <v/>
      </c>
      <c r="B5576" s="187" t="str">
        <f t="shared" si="18"/>
        <v/>
      </c>
    </row>
    <row r="5577" spans="1:2" hidden="1">
      <c r="A5577" s="187" t="str">
        <f t="shared" si="19"/>
        <v/>
      </c>
      <c r="B5577" s="187" t="str">
        <f t="shared" si="18"/>
        <v/>
      </c>
    </row>
    <row r="5578" spans="1:2" hidden="1">
      <c r="A5578" s="187" t="str">
        <f t="shared" si="19"/>
        <v/>
      </c>
      <c r="B5578" s="187" t="str">
        <f t="shared" si="18"/>
        <v/>
      </c>
    </row>
    <row r="5579" spans="1:2" hidden="1">
      <c r="A5579" s="187" t="str">
        <f t="shared" si="19"/>
        <v/>
      </c>
      <c r="B5579" s="187" t="str">
        <f t="shared" si="18"/>
        <v/>
      </c>
    </row>
    <row r="5580" spans="1:2" hidden="1">
      <c r="A5580" s="187" t="str">
        <f t="shared" si="19"/>
        <v/>
      </c>
      <c r="B5580" s="187" t="str">
        <f t="shared" si="18"/>
        <v/>
      </c>
    </row>
    <row r="5581" spans="1:2" hidden="1">
      <c r="A5581" s="187" t="str">
        <f t="shared" si="19"/>
        <v/>
      </c>
      <c r="B5581" s="187" t="str">
        <f t="shared" si="18"/>
        <v/>
      </c>
    </row>
    <row r="5582" spans="1:2" hidden="1">
      <c r="A5582" s="187" t="str">
        <f t="shared" si="19"/>
        <v/>
      </c>
      <c r="B5582" s="187" t="str">
        <f t="shared" si="18"/>
        <v/>
      </c>
    </row>
    <row r="5583" spans="1:2" hidden="1">
      <c r="A5583" s="187" t="str">
        <f t="shared" si="19"/>
        <v/>
      </c>
      <c r="B5583" s="187" t="str">
        <f t="shared" si="18"/>
        <v/>
      </c>
    </row>
    <row r="5584" spans="1:2" hidden="1">
      <c r="A5584" s="187" t="str">
        <f t="shared" si="19"/>
        <v/>
      </c>
      <c r="B5584" s="187" t="str">
        <f t="shared" si="18"/>
        <v/>
      </c>
    </row>
    <row r="5585" spans="1:2" hidden="1">
      <c r="A5585" s="187" t="str">
        <f t="shared" si="19"/>
        <v/>
      </c>
      <c r="B5585" s="187" t="str">
        <f t="shared" si="18"/>
        <v/>
      </c>
    </row>
    <row r="5586" spans="1:2" hidden="1">
      <c r="A5586" s="187" t="str">
        <f t="shared" si="19"/>
        <v/>
      </c>
      <c r="B5586" s="187" t="str">
        <f t="shared" si="18"/>
        <v/>
      </c>
    </row>
    <row r="5587" spans="1:2" hidden="1">
      <c r="A5587" s="187" t="str">
        <f t="shared" si="19"/>
        <v/>
      </c>
      <c r="B5587" s="187" t="str">
        <f t="shared" si="18"/>
        <v/>
      </c>
    </row>
    <row r="5588" spans="1:2" hidden="1">
      <c r="A5588" s="187" t="str">
        <f t="shared" si="19"/>
        <v/>
      </c>
      <c r="B5588" s="187" t="str">
        <f t="shared" si="18"/>
        <v/>
      </c>
    </row>
    <row r="5589" spans="1:2" hidden="1">
      <c r="A5589" s="187" t="str">
        <f t="shared" si="19"/>
        <v/>
      </c>
      <c r="B5589" s="187" t="str">
        <f t="shared" si="18"/>
        <v/>
      </c>
    </row>
    <row r="5590" spans="1:2" hidden="1">
      <c r="A5590" s="187" t="str">
        <f t="shared" si="19"/>
        <v/>
      </c>
      <c r="B5590" s="187" t="str">
        <f t="shared" si="18"/>
        <v/>
      </c>
    </row>
    <row r="5591" spans="1:2" hidden="1">
      <c r="A5591" s="187" t="str">
        <f t="shared" si="19"/>
        <v/>
      </c>
      <c r="B5591" s="187" t="str">
        <f t="shared" si="18"/>
        <v/>
      </c>
    </row>
    <row r="5592" spans="1:2" hidden="1">
      <c r="A5592" s="187" t="str">
        <f t="shared" si="19"/>
        <v/>
      </c>
      <c r="B5592" s="187" t="str">
        <f t="shared" si="18"/>
        <v/>
      </c>
    </row>
    <row r="5593" spans="1:2" hidden="1">
      <c r="A5593" s="187" t="str">
        <f t="shared" si="19"/>
        <v/>
      </c>
      <c r="B5593" s="187" t="str">
        <f t="shared" si="18"/>
        <v/>
      </c>
    </row>
    <row r="5594" spans="1:2" hidden="1">
      <c r="A5594" s="187" t="str">
        <f t="shared" si="19"/>
        <v/>
      </c>
      <c r="B5594" s="187" t="str">
        <f t="shared" si="18"/>
        <v/>
      </c>
    </row>
    <row r="5595" spans="1:2" hidden="1">
      <c r="A5595" s="187" t="str">
        <f t="shared" si="19"/>
        <v/>
      </c>
      <c r="B5595" s="187" t="str">
        <f t="shared" si="18"/>
        <v/>
      </c>
    </row>
    <row r="5596" spans="1:2" hidden="1">
      <c r="A5596" s="187" t="str">
        <f t="shared" si="19"/>
        <v/>
      </c>
      <c r="B5596" s="187" t="str">
        <f t="shared" ref="B5596:B5659" si="20">HYPERLINK("http://tw.stock.yahoo.com/d/s/earning_.html","")</f>
        <v/>
      </c>
    </row>
    <row r="5597" spans="1:2" hidden="1">
      <c r="A5597" s="187" t="str">
        <f t="shared" si="19"/>
        <v/>
      </c>
      <c r="B5597" s="187" t="str">
        <f t="shared" si="20"/>
        <v/>
      </c>
    </row>
    <row r="5598" spans="1:2" hidden="1">
      <c r="A5598" s="187" t="str">
        <f t="shared" si="19"/>
        <v/>
      </c>
      <c r="B5598" s="187" t="str">
        <f t="shared" si="20"/>
        <v/>
      </c>
    </row>
    <row r="5599" spans="1:2" hidden="1">
      <c r="A5599" s="187" t="str">
        <f t="shared" ref="A5599:A5662" si="21">HYPERLINK("http://tw.stock.yahoo.com/q/ta?s=","")</f>
        <v/>
      </c>
      <c r="B5599" s="187" t="str">
        <f t="shared" si="20"/>
        <v/>
      </c>
    </row>
    <row r="5600" spans="1:2" hidden="1">
      <c r="A5600" s="187" t="str">
        <f t="shared" si="21"/>
        <v/>
      </c>
      <c r="B5600" s="187" t="str">
        <f t="shared" si="20"/>
        <v/>
      </c>
    </row>
    <row r="5601" spans="1:2" hidden="1">
      <c r="A5601" s="187" t="str">
        <f t="shared" si="21"/>
        <v/>
      </c>
      <c r="B5601" s="187" t="str">
        <f t="shared" si="20"/>
        <v/>
      </c>
    </row>
    <row r="5602" spans="1:2" hidden="1">
      <c r="A5602" s="187" t="str">
        <f t="shared" si="21"/>
        <v/>
      </c>
      <c r="B5602" s="187" t="str">
        <f t="shared" si="20"/>
        <v/>
      </c>
    </row>
    <row r="5603" spans="1:2" hidden="1">
      <c r="A5603" s="187" t="str">
        <f t="shared" si="21"/>
        <v/>
      </c>
      <c r="B5603" s="187" t="str">
        <f t="shared" si="20"/>
        <v/>
      </c>
    </row>
    <row r="5604" spans="1:2" hidden="1">
      <c r="A5604" s="187" t="str">
        <f t="shared" si="21"/>
        <v/>
      </c>
      <c r="B5604" s="187" t="str">
        <f t="shared" si="20"/>
        <v/>
      </c>
    </row>
    <row r="5605" spans="1:2" hidden="1">
      <c r="A5605" s="187" t="str">
        <f t="shared" si="21"/>
        <v/>
      </c>
      <c r="B5605" s="187" t="str">
        <f t="shared" si="20"/>
        <v/>
      </c>
    </row>
    <row r="5606" spans="1:2" hidden="1">
      <c r="A5606" s="187" t="str">
        <f t="shared" si="21"/>
        <v/>
      </c>
      <c r="B5606" s="187" t="str">
        <f t="shared" si="20"/>
        <v/>
      </c>
    </row>
    <row r="5607" spans="1:2" hidden="1">
      <c r="A5607" s="187" t="str">
        <f t="shared" si="21"/>
        <v/>
      </c>
      <c r="B5607" s="187" t="str">
        <f t="shared" si="20"/>
        <v/>
      </c>
    </row>
    <row r="5608" spans="1:2" hidden="1">
      <c r="A5608" s="187" t="str">
        <f t="shared" si="21"/>
        <v/>
      </c>
      <c r="B5608" s="187" t="str">
        <f t="shared" si="20"/>
        <v/>
      </c>
    </row>
    <row r="5609" spans="1:2" hidden="1">
      <c r="A5609" s="187" t="str">
        <f t="shared" si="21"/>
        <v/>
      </c>
      <c r="B5609" s="187" t="str">
        <f t="shared" si="20"/>
        <v/>
      </c>
    </row>
    <row r="5610" spans="1:2" hidden="1">
      <c r="A5610" s="187" t="str">
        <f t="shared" si="21"/>
        <v/>
      </c>
      <c r="B5610" s="187" t="str">
        <f t="shared" si="20"/>
        <v/>
      </c>
    </row>
    <row r="5611" spans="1:2" hidden="1">
      <c r="A5611" s="187" t="str">
        <f t="shared" si="21"/>
        <v/>
      </c>
      <c r="B5611" s="187" t="str">
        <f t="shared" si="20"/>
        <v/>
      </c>
    </row>
    <row r="5612" spans="1:2" hidden="1">
      <c r="A5612" s="187" t="str">
        <f t="shared" si="21"/>
        <v/>
      </c>
      <c r="B5612" s="187" t="str">
        <f t="shared" si="20"/>
        <v/>
      </c>
    </row>
    <row r="5613" spans="1:2" hidden="1">
      <c r="A5613" s="187" t="str">
        <f t="shared" si="21"/>
        <v/>
      </c>
      <c r="B5613" s="187" t="str">
        <f t="shared" si="20"/>
        <v/>
      </c>
    </row>
    <row r="5614" spans="1:2" hidden="1">
      <c r="A5614" s="187" t="str">
        <f t="shared" si="21"/>
        <v/>
      </c>
      <c r="B5614" s="187" t="str">
        <f t="shared" si="20"/>
        <v/>
      </c>
    </row>
    <row r="5615" spans="1:2" hidden="1">
      <c r="A5615" s="187" t="str">
        <f t="shared" si="21"/>
        <v/>
      </c>
      <c r="B5615" s="187" t="str">
        <f t="shared" si="20"/>
        <v/>
      </c>
    </row>
    <row r="5616" spans="1:2" hidden="1">
      <c r="A5616" s="187" t="str">
        <f t="shared" si="21"/>
        <v/>
      </c>
      <c r="B5616" s="187" t="str">
        <f t="shared" si="20"/>
        <v/>
      </c>
    </row>
    <row r="5617" spans="1:2" hidden="1">
      <c r="A5617" s="187" t="str">
        <f t="shared" si="21"/>
        <v/>
      </c>
      <c r="B5617" s="187" t="str">
        <f t="shared" si="20"/>
        <v/>
      </c>
    </row>
    <row r="5618" spans="1:2" hidden="1">
      <c r="A5618" s="187" t="str">
        <f t="shared" si="21"/>
        <v/>
      </c>
      <c r="B5618" s="187" t="str">
        <f t="shared" si="20"/>
        <v/>
      </c>
    </row>
    <row r="5619" spans="1:2" hidden="1">
      <c r="A5619" s="187" t="str">
        <f t="shared" si="21"/>
        <v/>
      </c>
      <c r="B5619" s="187" t="str">
        <f t="shared" si="20"/>
        <v/>
      </c>
    </row>
    <row r="5620" spans="1:2" hidden="1">
      <c r="A5620" s="187" t="str">
        <f t="shared" si="21"/>
        <v/>
      </c>
      <c r="B5620" s="187" t="str">
        <f t="shared" si="20"/>
        <v/>
      </c>
    </row>
    <row r="5621" spans="1:2" hidden="1">
      <c r="A5621" s="187" t="str">
        <f t="shared" si="21"/>
        <v/>
      </c>
      <c r="B5621" s="187" t="str">
        <f t="shared" si="20"/>
        <v/>
      </c>
    </row>
    <row r="5622" spans="1:2" hidden="1">
      <c r="A5622" s="187" t="str">
        <f t="shared" si="21"/>
        <v/>
      </c>
      <c r="B5622" s="187" t="str">
        <f t="shared" si="20"/>
        <v/>
      </c>
    </row>
    <row r="5623" spans="1:2" hidden="1">
      <c r="A5623" s="187" t="str">
        <f t="shared" si="21"/>
        <v/>
      </c>
      <c r="B5623" s="187" t="str">
        <f t="shared" si="20"/>
        <v/>
      </c>
    </row>
    <row r="5624" spans="1:2" hidden="1">
      <c r="A5624" s="187" t="str">
        <f t="shared" si="21"/>
        <v/>
      </c>
      <c r="B5624" s="187" t="str">
        <f t="shared" si="20"/>
        <v/>
      </c>
    </row>
    <row r="5625" spans="1:2" hidden="1">
      <c r="A5625" s="187" t="str">
        <f t="shared" si="21"/>
        <v/>
      </c>
      <c r="B5625" s="187" t="str">
        <f t="shared" si="20"/>
        <v/>
      </c>
    </row>
    <row r="5626" spans="1:2" hidden="1">
      <c r="A5626" s="187" t="str">
        <f t="shared" si="21"/>
        <v/>
      </c>
      <c r="B5626" s="187" t="str">
        <f t="shared" si="20"/>
        <v/>
      </c>
    </row>
    <row r="5627" spans="1:2" hidden="1">
      <c r="A5627" s="187" t="str">
        <f t="shared" si="21"/>
        <v/>
      </c>
      <c r="B5627" s="187" t="str">
        <f t="shared" si="20"/>
        <v/>
      </c>
    </row>
    <row r="5628" spans="1:2" hidden="1">
      <c r="A5628" s="187" t="str">
        <f t="shared" si="21"/>
        <v/>
      </c>
      <c r="B5628" s="187" t="str">
        <f t="shared" si="20"/>
        <v/>
      </c>
    </row>
    <row r="5629" spans="1:2" hidden="1">
      <c r="A5629" s="187" t="str">
        <f t="shared" si="21"/>
        <v/>
      </c>
      <c r="B5629" s="187" t="str">
        <f t="shared" si="20"/>
        <v/>
      </c>
    </row>
    <row r="5630" spans="1:2" hidden="1">
      <c r="A5630" s="187" t="str">
        <f t="shared" si="21"/>
        <v/>
      </c>
      <c r="B5630" s="187" t="str">
        <f t="shared" si="20"/>
        <v/>
      </c>
    </row>
    <row r="5631" spans="1:2" hidden="1">
      <c r="A5631" s="187" t="str">
        <f t="shared" si="21"/>
        <v/>
      </c>
      <c r="B5631" s="187" t="str">
        <f t="shared" si="20"/>
        <v/>
      </c>
    </row>
    <row r="5632" spans="1:2" hidden="1">
      <c r="A5632" s="187" t="str">
        <f t="shared" si="21"/>
        <v/>
      </c>
      <c r="B5632" s="187" t="str">
        <f t="shared" si="20"/>
        <v/>
      </c>
    </row>
    <row r="5633" spans="1:2" hidden="1">
      <c r="A5633" s="187" t="str">
        <f t="shared" si="21"/>
        <v/>
      </c>
      <c r="B5633" s="187" t="str">
        <f t="shared" si="20"/>
        <v/>
      </c>
    </row>
    <row r="5634" spans="1:2" hidden="1">
      <c r="A5634" s="187" t="str">
        <f t="shared" si="21"/>
        <v/>
      </c>
      <c r="B5634" s="187" t="str">
        <f t="shared" si="20"/>
        <v/>
      </c>
    </row>
    <row r="5635" spans="1:2" hidden="1">
      <c r="A5635" s="187" t="str">
        <f t="shared" si="21"/>
        <v/>
      </c>
      <c r="B5635" s="187" t="str">
        <f t="shared" si="20"/>
        <v/>
      </c>
    </row>
    <row r="5636" spans="1:2" hidden="1">
      <c r="A5636" s="187" t="str">
        <f t="shared" si="21"/>
        <v/>
      </c>
      <c r="B5636" s="187" t="str">
        <f t="shared" si="20"/>
        <v/>
      </c>
    </row>
    <row r="5637" spans="1:2" hidden="1">
      <c r="A5637" s="187" t="str">
        <f t="shared" si="21"/>
        <v/>
      </c>
      <c r="B5637" s="187" t="str">
        <f t="shared" si="20"/>
        <v/>
      </c>
    </row>
    <row r="5638" spans="1:2" hidden="1">
      <c r="A5638" s="187" t="str">
        <f t="shared" si="21"/>
        <v/>
      </c>
      <c r="B5638" s="187" t="str">
        <f t="shared" si="20"/>
        <v/>
      </c>
    </row>
    <row r="5639" spans="1:2" hidden="1">
      <c r="A5639" s="187" t="str">
        <f t="shared" si="21"/>
        <v/>
      </c>
      <c r="B5639" s="187" t="str">
        <f t="shared" si="20"/>
        <v/>
      </c>
    </row>
    <row r="5640" spans="1:2" hidden="1">
      <c r="A5640" s="187" t="str">
        <f t="shared" si="21"/>
        <v/>
      </c>
      <c r="B5640" s="187" t="str">
        <f t="shared" si="20"/>
        <v/>
      </c>
    </row>
    <row r="5641" spans="1:2" hidden="1">
      <c r="A5641" s="187" t="str">
        <f t="shared" si="21"/>
        <v/>
      </c>
      <c r="B5641" s="187" t="str">
        <f t="shared" si="20"/>
        <v/>
      </c>
    </row>
    <row r="5642" spans="1:2" hidden="1">
      <c r="A5642" s="187" t="str">
        <f t="shared" si="21"/>
        <v/>
      </c>
      <c r="B5642" s="187" t="str">
        <f t="shared" si="20"/>
        <v/>
      </c>
    </row>
    <row r="5643" spans="1:2" hidden="1">
      <c r="A5643" s="187" t="str">
        <f t="shared" si="21"/>
        <v/>
      </c>
      <c r="B5643" s="187" t="str">
        <f t="shared" si="20"/>
        <v/>
      </c>
    </row>
    <row r="5644" spans="1:2" hidden="1">
      <c r="A5644" s="187" t="str">
        <f t="shared" si="21"/>
        <v/>
      </c>
      <c r="B5644" s="187" t="str">
        <f t="shared" si="20"/>
        <v/>
      </c>
    </row>
    <row r="5645" spans="1:2" hidden="1">
      <c r="A5645" s="187" t="str">
        <f t="shared" si="21"/>
        <v/>
      </c>
      <c r="B5645" s="187" t="str">
        <f t="shared" si="20"/>
        <v/>
      </c>
    </row>
    <row r="5646" spans="1:2" hidden="1">
      <c r="A5646" s="187" t="str">
        <f t="shared" si="21"/>
        <v/>
      </c>
      <c r="B5646" s="187" t="str">
        <f t="shared" si="20"/>
        <v/>
      </c>
    </row>
    <row r="5647" spans="1:2" hidden="1">
      <c r="A5647" s="187" t="str">
        <f t="shared" si="21"/>
        <v/>
      </c>
      <c r="B5647" s="187" t="str">
        <f t="shared" si="20"/>
        <v/>
      </c>
    </row>
    <row r="5648" spans="1:2" hidden="1">
      <c r="A5648" s="187" t="str">
        <f t="shared" si="21"/>
        <v/>
      </c>
      <c r="B5648" s="187" t="str">
        <f t="shared" si="20"/>
        <v/>
      </c>
    </row>
    <row r="5649" spans="1:2" hidden="1">
      <c r="A5649" s="187" t="str">
        <f t="shared" si="21"/>
        <v/>
      </c>
      <c r="B5649" s="187" t="str">
        <f t="shared" si="20"/>
        <v/>
      </c>
    </row>
    <row r="5650" spans="1:2" hidden="1">
      <c r="A5650" s="187" t="str">
        <f t="shared" si="21"/>
        <v/>
      </c>
      <c r="B5650" s="187" t="str">
        <f t="shared" si="20"/>
        <v/>
      </c>
    </row>
    <row r="5651" spans="1:2" hidden="1">
      <c r="A5651" s="187" t="str">
        <f t="shared" si="21"/>
        <v/>
      </c>
      <c r="B5651" s="187" t="str">
        <f t="shared" si="20"/>
        <v/>
      </c>
    </row>
    <row r="5652" spans="1:2" hidden="1">
      <c r="A5652" s="187" t="str">
        <f t="shared" si="21"/>
        <v/>
      </c>
      <c r="B5652" s="187" t="str">
        <f t="shared" si="20"/>
        <v/>
      </c>
    </row>
    <row r="5653" spans="1:2" hidden="1">
      <c r="A5653" s="187" t="str">
        <f t="shared" si="21"/>
        <v/>
      </c>
      <c r="B5653" s="187" t="str">
        <f t="shared" si="20"/>
        <v/>
      </c>
    </row>
    <row r="5654" spans="1:2" hidden="1">
      <c r="A5654" s="187" t="str">
        <f t="shared" si="21"/>
        <v/>
      </c>
      <c r="B5654" s="187" t="str">
        <f t="shared" si="20"/>
        <v/>
      </c>
    </row>
    <row r="5655" spans="1:2" hidden="1">
      <c r="A5655" s="187" t="str">
        <f t="shared" si="21"/>
        <v/>
      </c>
      <c r="B5655" s="187" t="str">
        <f t="shared" si="20"/>
        <v/>
      </c>
    </row>
    <row r="5656" spans="1:2" hidden="1">
      <c r="A5656" s="187" t="str">
        <f t="shared" si="21"/>
        <v/>
      </c>
      <c r="B5656" s="187" t="str">
        <f t="shared" si="20"/>
        <v/>
      </c>
    </row>
    <row r="5657" spans="1:2" hidden="1">
      <c r="A5657" s="187" t="str">
        <f t="shared" si="21"/>
        <v/>
      </c>
      <c r="B5657" s="187" t="str">
        <f t="shared" si="20"/>
        <v/>
      </c>
    </row>
    <row r="5658" spans="1:2" hidden="1">
      <c r="A5658" s="187" t="str">
        <f t="shared" si="21"/>
        <v/>
      </c>
      <c r="B5658" s="187" t="str">
        <f t="shared" si="20"/>
        <v/>
      </c>
    </row>
    <row r="5659" spans="1:2" hidden="1">
      <c r="A5659" s="187" t="str">
        <f t="shared" si="21"/>
        <v/>
      </c>
      <c r="B5659" s="187" t="str">
        <f t="shared" si="20"/>
        <v/>
      </c>
    </row>
    <row r="5660" spans="1:2" hidden="1">
      <c r="A5660" s="187" t="str">
        <f t="shared" si="21"/>
        <v/>
      </c>
      <c r="B5660" s="187" t="str">
        <f t="shared" ref="B5660:B5723" si="22">HYPERLINK("http://tw.stock.yahoo.com/d/s/earning_.html","")</f>
        <v/>
      </c>
    </row>
    <row r="5661" spans="1:2" hidden="1">
      <c r="A5661" s="187" t="str">
        <f t="shared" si="21"/>
        <v/>
      </c>
      <c r="B5661" s="187" t="str">
        <f t="shared" si="22"/>
        <v/>
      </c>
    </row>
    <row r="5662" spans="1:2" hidden="1">
      <c r="A5662" s="187" t="str">
        <f t="shared" si="21"/>
        <v/>
      </c>
      <c r="B5662" s="187" t="str">
        <f t="shared" si="22"/>
        <v/>
      </c>
    </row>
    <row r="5663" spans="1:2" hidden="1">
      <c r="A5663" s="187" t="str">
        <f t="shared" ref="A5663:A5726" si="23">HYPERLINK("http://tw.stock.yahoo.com/q/ta?s=","")</f>
        <v/>
      </c>
      <c r="B5663" s="187" t="str">
        <f t="shared" si="22"/>
        <v/>
      </c>
    </row>
    <row r="5664" spans="1:2" hidden="1">
      <c r="A5664" s="187" t="str">
        <f t="shared" si="23"/>
        <v/>
      </c>
      <c r="B5664" s="187" t="str">
        <f t="shared" si="22"/>
        <v/>
      </c>
    </row>
    <row r="5665" spans="1:2" hidden="1">
      <c r="A5665" s="187" t="str">
        <f t="shared" si="23"/>
        <v/>
      </c>
      <c r="B5665" s="187" t="str">
        <f t="shared" si="22"/>
        <v/>
      </c>
    </row>
    <row r="5666" spans="1:2" hidden="1">
      <c r="A5666" s="187" t="str">
        <f t="shared" si="23"/>
        <v/>
      </c>
      <c r="B5666" s="187" t="str">
        <f t="shared" si="22"/>
        <v/>
      </c>
    </row>
    <row r="5667" spans="1:2" hidden="1">
      <c r="A5667" s="187" t="str">
        <f t="shared" si="23"/>
        <v/>
      </c>
      <c r="B5667" s="187" t="str">
        <f t="shared" si="22"/>
        <v/>
      </c>
    </row>
    <row r="5668" spans="1:2" hidden="1">
      <c r="A5668" s="187" t="str">
        <f t="shared" si="23"/>
        <v/>
      </c>
      <c r="B5668" s="187" t="str">
        <f t="shared" si="22"/>
        <v/>
      </c>
    </row>
    <row r="5669" spans="1:2" hidden="1">
      <c r="A5669" s="187" t="str">
        <f t="shared" si="23"/>
        <v/>
      </c>
      <c r="B5669" s="187" t="str">
        <f t="shared" si="22"/>
        <v/>
      </c>
    </row>
    <row r="5670" spans="1:2" hidden="1">
      <c r="A5670" s="187" t="str">
        <f t="shared" si="23"/>
        <v/>
      </c>
      <c r="B5670" s="187" t="str">
        <f t="shared" si="22"/>
        <v/>
      </c>
    </row>
    <row r="5671" spans="1:2" hidden="1">
      <c r="A5671" s="187" t="str">
        <f t="shared" si="23"/>
        <v/>
      </c>
      <c r="B5671" s="187" t="str">
        <f t="shared" si="22"/>
        <v/>
      </c>
    </row>
    <row r="5672" spans="1:2" hidden="1">
      <c r="A5672" s="187" t="str">
        <f t="shared" si="23"/>
        <v/>
      </c>
      <c r="B5672" s="187" t="str">
        <f t="shared" si="22"/>
        <v/>
      </c>
    </row>
    <row r="5673" spans="1:2" hidden="1">
      <c r="A5673" s="187" t="str">
        <f t="shared" si="23"/>
        <v/>
      </c>
      <c r="B5673" s="187" t="str">
        <f t="shared" si="22"/>
        <v/>
      </c>
    </row>
    <row r="5674" spans="1:2" hidden="1">
      <c r="A5674" s="187" t="str">
        <f t="shared" si="23"/>
        <v/>
      </c>
      <c r="B5674" s="187" t="str">
        <f t="shared" si="22"/>
        <v/>
      </c>
    </row>
    <row r="5675" spans="1:2" hidden="1">
      <c r="A5675" s="187" t="str">
        <f t="shared" si="23"/>
        <v/>
      </c>
      <c r="B5675" s="187" t="str">
        <f t="shared" si="22"/>
        <v/>
      </c>
    </row>
    <row r="5676" spans="1:2" hidden="1">
      <c r="A5676" s="187" t="str">
        <f t="shared" si="23"/>
        <v/>
      </c>
      <c r="B5676" s="187" t="str">
        <f t="shared" si="22"/>
        <v/>
      </c>
    </row>
    <row r="5677" spans="1:2" hidden="1">
      <c r="A5677" s="187" t="str">
        <f t="shared" si="23"/>
        <v/>
      </c>
      <c r="B5677" s="187" t="str">
        <f t="shared" si="22"/>
        <v/>
      </c>
    </row>
    <row r="5678" spans="1:2" hidden="1">
      <c r="A5678" s="187" t="str">
        <f t="shared" si="23"/>
        <v/>
      </c>
      <c r="B5678" s="187" t="str">
        <f t="shared" si="22"/>
        <v/>
      </c>
    </row>
    <row r="5679" spans="1:2" hidden="1">
      <c r="A5679" s="187" t="str">
        <f t="shared" si="23"/>
        <v/>
      </c>
      <c r="B5679" s="187" t="str">
        <f t="shared" si="22"/>
        <v/>
      </c>
    </row>
    <row r="5680" spans="1:2" hidden="1">
      <c r="A5680" s="187" t="str">
        <f t="shared" si="23"/>
        <v/>
      </c>
      <c r="B5680" s="187" t="str">
        <f t="shared" si="22"/>
        <v/>
      </c>
    </row>
    <row r="5681" spans="1:2" hidden="1">
      <c r="A5681" s="187" t="str">
        <f t="shared" si="23"/>
        <v/>
      </c>
      <c r="B5681" s="187" t="str">
        <f t="shared" si="22"/>
        <v/>
      </c>
    </row>
    <row r="5682" spans="1:2" hidden="1">
      <c r="A5682" s="187" t="str">
        <f t="shared" si="23"/>
        <v/>
      </c>
      <c r="B5682" s="187" t="str">
        <f t="shared" si="22"/>
        <v/>
      </c>
    </row>
    <row r="5683" spans="1:2" hidden="1">
      <c r="A5683" s="187" t="str">
        <f t="shared" si="23"/>
        <v/>
      </c>
      <c r="B5683" s="187" t="str">
        <f t="shared" si="22"/>
        <v/>
      </c>
    </row>
    <row r="5684" spans="1:2" hidden="1">
      <c r="A5684" s="187" t="str">
        <f t="shared" si="23"/>
        <v/>
      </c>
      <c r="B5684" s="187" t="str">
        <f t="shared" si="22"/>
        <v/>
      </c>
    </row>
    <row r="5685" spans="1:2" hidden="1">
      <c r="A5685" s="187" t="str">
        <f t="shared" si="23"/>
        <v/>
      </c>
      <c r="B5685" s="187" t="str">
        <f t="shared" si="22"/>
        <v/>
      </c>
    </row>
    <row r="5686" spans="1:2" hidden="1">
      <c r="A5686" s="187" t="str">
        <f t="shared" si="23"/>
        <v/>
      </c>
      <c r="B5686" s="187" t="str">
        <f t="shared" si="22"/>
        <v/>
      </c>
    </row>
    <row r="5687" spans="1:2" hidden="1">
      <c r="A5687" s="187" t="str">
        <f t="shared" si="23"/>
        <v/>
      </c>
      <c r="B5687" s="187" t="str">
        <f t="shared" si="22"/>
        <v/>
      </c>
    </row>
    <row r="5688" spans="1:2" hidden="1">
      <c r="A5688" s="187" t="str">
        <f t="shared" si="23"/>
        <v/>
      </c>
      <c r="B5688" s="187" t="str">
        <f t="shared" si="22"/>
        <v/>
      </c>
    </row>
    <row r="5689" spans="1:2" hidden="1">
      <c r="A5689" s="187" t="str">
        <f t="shared" si="23"/>
        <v/>
      </c>
      <c r="B5689" s="187" t="str">
        <f t="shared" si="22"/>
        <v/>
      </c>
    </row>
    <row r="5690" spans="1:2" hidden="1">
      <c r="A5690" s="187" t="str">
        <f t="shared" si="23"/>
        <v/>
      </c>
      <c r="B5690" s="187" t="str">
        <f t="shared" si="22"/>
        <v/>
      </c>
    </row>
    <row r="5691" spans="1:2" hidden="1">
      <c r="A5691" s="187" t="str">
        <f t="shared" si="23"/>
        <v/>
      </c>
      <c r="B5691" s="187" t="str">
        <f t="shared" si="22"/>
        <v/>
      </c>
    </row>
    <row r="5692" spans="1:2" hidden="1">
      <c r="A5692" s="187" t="str">
        <f t="shared" si="23"/>
        <v/>
      </c>
      <c r="B5692" s="187" t="str">
        <f t="shared" si="22"/>
        <v/>
      </c>
    </row>
    <row r="5693" spans="1:2" hidden="1">
      <c r="A5693" s="187" t="str">
        <f t="shared" si="23"/>
        <v/>
      </c>
      <c r="B5693" s="187" t="str">
        <f t="shared" si="22"/>
        <v/>
      </c>
    </row>
    <row r="5694" spans="1:2" hidden="1">
      <c r="A5694" s="187" t="str">
        <f t="shared" si="23"/>
        <v/>
      </c>
      <c r="B5694" s="187" t="str">
        <f t="shared" si="22"/>
        <v/>
      </c>
    </row>
    <row r="5695" spans="1:2" hidden="1">
      <c r="A5695" s="187" t="str">
        <f t="shared" si="23"/>
        <v/>
      </c>
      <c r="B5695" s="187" t="str">
        <f t="shared" si="22"/>
        <v/>
      </c>
    </row>
    <row r="5696" spans="1:2" hidden="1">
      <c r="A5696" s="187" t="str">
        <f t="shared" si="23"/>
        <v/>
      </c>
      <c r="B5696" s="187" t="str">
        <f t="shared" si="22"/>
        <v/>
      </c>
    </row>
    <row r="5697" spans="1:2" hidden="1">
      <c r="A5697" s="187" t="str">
        <f t="shared" si="23"/>
        <v/>
      </c>
      <c r="B5697" s="187" t="str">
        <f t="shared" si="22"/>
        <v/>
      </c>
    </row>
    <row r="5698" spans="1:2" hidden="1">
      <c r="A5698" s="187" t="str">
        <f t="shared" si="23"/>
        <v/>
      </c>
      <c r="B5698" s="187" t="str">
        <f t="shared" si="22"/>
        <v/>
      </c>
    </row>
    <row r="5699" spans="1:2" hidden="1">
      <c r="A5699" s="187" t="str">
        <f t="shared" si="23"/>
        <v/>
      </c>
      <c r="B5699" s="187" t="str">
        <f t="shared" si="22"/>
        <v/>
      </c>
    </row>
    <row r="5700" spans="1:2" hidden="1">
      <c r="A5700" s="187" t="str">
        <f t="shared" si="23"/>
        <v/>
      </c>
      <c r="B5700" s="187" t="str">
        <f t="shared" si="22"/>
        <v/>
      </c>
    </row>
    <row r="5701" spans="1:2" hidden="1">
      <c r="A5701" s="187" t="str">
        <f t="shared" si="23"/>
        <v/>
      </c>
      <c r="B5701" s="187" t="str">
        <f t="shared" si="22"/>
        <v/>
      </c>
    </row>
    <row r="5702" spans="1:2" hidden="1">
      <c r="A5702" s="187" t="str">
        <f t="shared" si="23"/>
        <v/>
      </c>
      <c r="B5702" s="187" t="str">
        <f t="shared" si="22"/>
        <v/>
      </c>
    </row>
    <row r="5703" spans="1:2" hidden="1">
      <c r="A5703" s="187" t="str">
        <f t="shared" si="23"/>
        <v/>
      </c>
      <c r="B5703" s="187" t="str">
        <f t="shared" si="22"/>
        <v/>
      </c>
    </row>
    <row r="5704" spans="1:2" hidden="1">
      <c r="A5704" s="187" t="str">
        <f t="shared" si="23"/>
        <v/>
      </c>
      <c r="B5704" s="187" t="str">
        <f t="shared" si="22"/>
        <v/>
      </c>
    </row>
    <row r="5705" spans="1:2" hidden="1">
      <c r="A5705" s="187" t="str">
        <f t="shared" si="23"/>
        <v/>
      </c>
      <c r="B5705" s="187" t="str">
        <f t="shared" si="22"/>
        <v/>
      </c>
    </row>
    <row r="5706" spans="1:2" hidden="1">
      <c r="A5706" s="187" t="str">
        <f t="shared" si="23"/>
        <v/>
      </c>
      <c r="B5706" s="187" t="str">
        <f t="shared" si="22"/>
        <v/>
      </c>
    </row>
    <row r="5707" spans="1:2" hidden="1">
      <c r="A5707" s="187" t="str">
        <f t="shared" si="23"/>
        <v/>
      </c>
      <c r="B5707" s="187" t="str">
        <f t="shared" si="22"/>
        <v/>
      </c>
    </row>
    <row r="5708" spans="1:2" hidden="1">
      <c r="A5708" s="187" t="str">
        <f t="shared" si="23"/>
        <v/>
      </c>
      <c r="B5708" s="187" t="str">
        <f t="shared" si="22"/>
        <v/>
      </c>
    </row>
    <row r="5709" spans="1:2" hidden="1">
      <c r="A5709" s="187" t="str">
        <f t="shared" si="23"/>
        <v/>
      </c>
      <c r="B5709" s="187" t="str">
        <f t="shared" si="22"/>
        <v/>
      </c>
    </row>
    <row r="5710" spans="1:2" hidden="1">
      <c r="A5710" s="187" t="str">
        <f t="shared" si="23"/>
        <v/>
      </c>
      <c r="B5710" s="187" t="str">
        <f t="shared" si="22"/>
        <v/>
      </c>
    </row>
    <row r="5711" spans="1:2" hidden="1">
      <c r="A5711" s="187" t="str">
        <f t="shared" si="23"/>
        <v/>
      </c>
      <c r="B5711" s="187" t="str">
        <f t="shared" si="22"/>
        <v/>
      </c>
    </row>
    <row r="5712" spans="1:2" hidden="1">
      <c r="A5712" s="187" t="str">
        <f t="shared" si="23"/>
        <v/>
      </c>
      <c r="B5712" s="187" t="str">
        <f t="shared" si="22"/>
        <v/>
      </c>
    </row>
    <row r="5713" spans="1:2" hidden="1">
      <c r="A5713" s="187" t="str">
        <f t="shared" si="23"/>
        <v/>
      </c>
      <c r="B5713" s="187" t="str">
        <f t="shared" si="22"/>
        <v/>
      </c>
    </row>
    <row r="5714" spans="1:2" hidden="1">
      <c r="A5714" s="187" t="str">
        <f t="shared" si="23"/>
        <v/>
      </c>
      <c r="B5714" s="187" t="str">
        <f t="shared" si="22"/>
        <v/>
      </c>
    </row>
    <row r="5715" spans="1:2" hidden="1">
      <c r="A5715" s="187" t="str">
        <f t="shared" si="23"/>
        <v/>
      </c>
      <c r="B5715" s="187" t="str">
        <f t="shared" si="22"/>
        <v/>
      </c>
    </row>
    <row r="5716" spans="1:2" hidden="1">
      <c r="A5716" s="187" t="str">
        <f t="shared" si="23"/>
        <v/>
      </c>
      <c r="B5716" s="187" t="str">
        <f t="shared" si="22"/>
        <v/>
      </c>
    </row>
    <row r="5717" spans="1:2" hidden="1">
      <c r="A5717" s="187" t="str">
        <f t="shared" si="23"/>
        <v/>
      </c>
      <c r="B5717" s="187" t="str">
        <f t="shared" si="22"/>
        <v/>
      </c>
    </row>
    <row r="5718" spans="1:2" hidden="1">
      <c r="A5718" s="187" t="str">
        <f t="shared" si="23"/>
        <v/>
      </c>
      <c r="B5718" s="187" t="str">
        <f t="shared" si="22"/>
        <v/>
      </c>
    </row>
    <row r="5719" spans="1:2" hidden="1">
      <c r="A5719" s="187" t="str">
        <f t="shared" si="23"/>
        <v/>
      </c>
      <c r="B5719" s="187" t="str">
        <f t="shared" si="22"/>
        <v/>
      </c>
    </row>
    <row r="5720" spans="1:2" hidden="1">
      <c r="A5720" s="187" t="str">
        <f t="shared" si="23"/>
        <v/>
      </c>
      <c r="B5720" s="187" t="str">
        <f t="shared" si="22"/>
        <v/>
      </c>
    </row>
    <row r="5721" spans="1:2" hidden="1">
      <c r="A5721" s="187" t="str">
        <f t="shared" si="23"/>
        <v/>
      </c>
      <c r="B5721" s="187" t="str">
        <f t="shared" si="22"/>
        <v/>
      </c>
    </row>
    <row r="5722" spans="1:2" hidden="1">
      <c r="A5722" s="187" t="str">
        <f t="shared" si="23"/>
        <v/>
      </c>
      <c r="B5722" s="187" t="str">
        <f t="shared" si="22"/>
        <v/>
      </c>
    </row>
    <row r="5723" spans="1:2" hidden="1">
      <c r="A5723" s="187" t="str">
        <f t="shared" si="23"/>
        <v/>
      </c>
      <c r="B5723" s="187" t="str">
        <f t="shared" si="22"/>
        <v/>
      </c>
    </row>
    <row r="5724" spans="1:2" hidden="1">
      <c r="A5724" s="187" t="str">
        <f t="shared" si="23"/>
        <v/>
      </c>
      <c r="B5724" s="187" t="str">
        <f t="shared" ref="B5724:B5787" si="24">HYPERLINK("http://tw.stock.yahoo.com/d/s/earning_.html","")</f>
        <v/>
      </c>
    </row>
    <row r="5725" spans="1:2" hidden="1">
      <c r="A5725" s="187" t="str">
        <f t="shared" si="23"/>
        <v/>
      </c>
      <c r="B5725" s="187" t="str">
        <f t="shared" si="24"/>
        <v/>
      </c>
    </row>
    <row r="5726" spans="1:2" hidden="1">
      <c r="A5726" s="187" t="str">
        <f t="shared" si="23"/>
        <v/>
      </c>
      <c r="B5726" s="187" t="str">
        <f t="shared" si="24"/>
        <v/>
      </c>
    </row>
    <row r="5727" spans="1:2" hidden="1">
      <c r="A5727" s="187" t="str">
        <f t="shared" ref="A5727:A5790" si="25">HYPERLINK("http://tw.stock.yahoo.com/q/ta?s=","")</f>
        <v/>
      </c>
      <c r="B5727" s="187" t="str">
        <f t="shared" si="24"/>
        <v/>
      </c>
    </row>
    <row r="5728" spans="1:2" hidden="1">
      <c r="A5728" s="187" t="str">
        <f t="shared" si="25"/>
        <v/>
      </c>
      <c r="B5728" s="187" t="str">
        <f t="shared" si="24"/>
        <v/>
      </c>
    </row>
    <row r="5729" spans="1:2" hidden="1">
      <c r="A5729" s="187" t="str">
        <f t="shared" si="25"/>
        <v/>
      </c>
      <c r="B5729" s="187" t="str">
        <f t="shared" si="24"/>
        <v/>
      </c>
    </row>
    <row r="5730" spans="1:2" hidden="1">
      <c r="A5730" s="187" t="str">
        <f t="shared" si="25"/>
        <v/>
      </c>
      <c r="B5730" s="187" t="str">
        <f t="shared" si="24"/>
        <v/>
      </c>
    </row>
    <row r="5731" spans="1:2" hidden="1">
      <c r="A5731" s="187" t="str">
        <f t="shared" si="25"/>
        <v/>
      </c>
      <c r="B5731" s="187" t="str">
        <f t="shared" si="24"/>
        <v/>
      </c>
    </row>
    <row r="5732" spans="1:2" hidden="1">
      <c r="A5732" s="187" t="str">
        <f t="shared" si="25"/>
        <v/>
      </c>
      <c r="B5732" s="187" t="str">
        <f t="shared" si="24"/>
        <v/>
      </c>
    </row>
    <row r="5733" spans="1:2" hidden="1">
      <c r="A5733" s="187" t="str">
        <f t="shared" si="25"/>
        <v/>
      </c>
      <c r="B5733" s="187" t="str">
        <f t="shared" si="24"/>
        <v/>
      </c>
    </row>
    <row r="5734" spans="1:2" hidden="1">
      <c r="A5734" s="187" t="str">
        <f t="shared" si="25"/>
        <v/>
      </c>
      <c r="B5734" s="187" t="str">
        <f t="shared" si="24"/>
        <v/>
      </c>
    </row>
    <row r="5735" spans="1:2" hidden="1">
      <c r="A5735" s="187" t="str">
        <f t="shared" si="25"/>
        <v/>
      </c>
      <c r="B5735" s="187" t="str">
        <f t="shared" si="24"/>
        <v/>
      </c>
    </row>
    <row r="5736" spans="1:2" hidden="1">
      <c r="A5736" s="187" t="str">
        <f t="shared" si="25"/>
        <v/>
      </c>
      <c r="B5736" s="187" t="str">
        <f t="shared" si="24"/>
        <v/>
      </c>
    </row>
    <row r="5737" spans="1:2" hidden="1">
      <c r="A5737" s="187" t="str">
        <f t="shared" si="25"/>
        <v/>
      </c>
      <c r="B5737" s="187" t="str">
        <f t="shared" si="24"/>
        <v/>
      </c>
    </row>
    <row r="5738" spans="1:2" hidden="1">
      <c r="A5738" s="187" t="str">
        <f t="shared" si="25"/>
        <v/>
      </c>
      <c r="B5738" s="187" t="str">
        <f t="shared" si="24"/>
        <v/>
      </c>
    </row>
    <row r="5739" spans="1:2" hidden="1">
      <c r="A5739" s="187" t="str">
        <f t="shared" si="25"/>
        <v/>
      </c>
      <c r="B5739" s="187" t="str">
        <f t="shared" si="24"/>
        <v/>
      </c>
    </row>
    <row r="5740" spans="1:2" hidden="1">
      <c r="A5740" s="187" t="str">
        <f t="shared" si="25"/>
        <v/>
      </c>
      <c r="B5740" s="187" t="str">
        <f t="shared" si="24"/>
        <v/>
      </c>
    </row>
    <row r="5741" spans="1:2" hidden="1">
      <c r="A5741" s="187" t="str">
        <f t="shared" si="25"/>
        <v/>
      </c>
      <c r="B5741" s="187" t="str">
        <f t="shared" si="24"/>
        <v/>
      </c>
    </row>
    <row r="5742" spans="1:2" hidden="1">
      <c r="A5742" s="187" t="str">
        <f t="shared" si="25"/>
        <v/>
      </c>
      <c r="B5742" s="187" t="str">
        <f t="shared" si="24"/>
        <v/>
      </c>
    </row>
    <row r="5743" spans="1:2" hidden="1">
      <c r="A5743" s="187" t="str">
        <f t="shared" si="25"/>
        <v/>
      </c>
      <c r="B5743" s="187" t="str">
        <f t="shared" si="24"/>
        <v/>
      </c>
    </row>
    <row r="5744" spans="1:2" hidden="1">
      <c r="A5744" s="187" t="str">
        <f t="shared" si="25"/>
        <v/>
      </c>
      <c r="B5744" s="187" t="str">
        <f t="shared" si="24"/>
        <v/>
      </c>
    </row>
    <row r="5745" spans="1:2" hidden="1">
      <c r="A5745" s="187" t="str">
        <f t="shared" si="25"/>
        <v/>
      </c>
      <c r="B5745" s="187" t="str">
        <f t="shared" si="24"/>
        <v/>
      </c>
    </row>
    <row r="5746" spans="1:2" hidden="1">
      <c r="A5746" s="187" t="str">
        <f t="shared" si="25"/>
        <v/>
      </c>
      <c r="B5746" s="187" t="str">
        <f t="shared" si="24"/>
        <v/>
      </c>
    </row>
    <row r="5747" spans="1:2" hidden="1">
      <c r="A5747" s="187" t="str">
        <f t="shared" si="25"/>
        <v/>
      </c>
      <c r="B5747" s="187" t="str">
        <f t="shared" si="24"/>
        <v/>
      </c>
    </row>
    <row r="5748" spans="1:2" hidden="1">
      <c r="A5748" s="187" t="str">
        <f t="shared" si="25"/>
        <v/>
      </c>
      <c r="B5748" s="187" t="str">
        <f t="shared" si="24"/>
        <v/>
      </c>
    </row>
    <row r="5749" spans="1:2" hidden="1">
      <c r="A5749" s="187" t="str">
        <f t="shared" si="25"/>
        <v/>
      </c>
      <c r="B5749" s="187" t="str">
        <f t="shared" si="24"/>
        <v/>
      </c>
    </row>
    <row r="5750" spans="1:2" hidden="1">
      <c r="A5750" s="187" t="str">
        <f t="shared" si="25"/>
        <v/>
      </c>
      <c r="B5750" s="187" t="str">
        <f t="shared" si="24"/>
        <v/>
      </c>
    </row>
    <row r="5751" spans="1:2" hidden="1">
      <c r="A5751" s="187" t="str">
        <f t="shared" si="25"/>
        <v/>
      </c>
      <c r="B5751" s="187" t="str">
        <f t="shared" si="24"/>
        <v/>
      </c>
    </row>
    <row r="5752" spans="1:2" hidden="1">
      <c r="A5752" s="187" t="str">
        <f t="shared" si="25"/>
        <v/>
      </c>
      <c r="B5752" s="187" t="str">
        <f t="shared" si="24"/>
        <v/>
      </c>
    </row>
    <row r="5753" spans="1:2" hidden="1">
      <c r="A5753" s="187" t="str">
        <f t="shared" si="25"/>
        <v/>
      </c>
      <c r="B5753" s="187" t="str">
        <f t="shared" si="24"/>
        <v/>
      </c>
    </row>
    <row r="5754" spans="1:2" hidden="1">
      <c r="A5754" s="187" t="str">
        <f t="shared" si="25"/>
        <v/>
      </c>
      <c r="B5754" s="187" t="str">
        <f t="shared" si="24"/>
        <v/>
      </c>
    </row>
    <row r="5755" spans="1:2" hidden="1">
      <c r="A5755" s="187" t="str">
        <f t="shared" si="25"/>
        <v/>
      </c>
      <c r="B5755" s="187" t="str">
        <f t="shared" si="24"/>
        <v/>
      </c>
    </row>
    <row r="5756" spans="1:2" hidden="1">
      <c r="A5756" s="187" t="str">
        <f t="shared" si="25"/>
        <v/>
      </c>
      <c r="B5756" s="187" t="str">
        <f t="shared" si="24"/>
        <v/>
      </c>
    </row>
    <row r="5757" spans="1:2" hidden="1">
      <c r="A5757" s="187" t="str">
        <f t="shared" si="25"/>
        <v/>
      </c>
      <c r="B5757" s="187" t="str">
        <f t="shared" si="24"/>
        <v/>
      </c>
    </row>
    <row r="5758" spans="1:2" hidden="1">
      <c r="A5758" s="187" t="str">
        <f t="shared" si="25"/>
        <v/>
      </c>
      <c r="B5758" s="187" t="str">
        <f t="shared" si="24"/>
        <v/>
      </c>
    </row>
    <row r="5759" spans="1:2" hidden="1">
      <c r="A5759" s="187" t="str">
        <f t="shared" si="25"/>
        <v/>
      </c>
      <c r="B5759" s="187" t="str">
        <f t="shared" si="24"/>
        <v/>
      </c>
    </row>
    <row r="5760" spans="1:2" hidden="1">
      <c r="A5760" s="187" t="str">
        <f t="shared" si="25"/>
        <v/>
      </c>
      <c r="B5760" s="187" t="str">
        <f t="shared" si="24"/>
        <v/>
      </c>
    </row>
    <row r="5761" spans="1:2" hidden="1">
      <c r="A5761" s="187" t="str">
        <f t="shared" si="25"/>
        <v/>
      </c>
      <c r="B5761" s="187" t="str">
        <f t="shared" si="24"/>
        <v/>
      </c>
    </row>
    <row r="5762" spans="1:2" hidden="1">
      <c r="A5762" s="187" t="str">
        <f t="shared" si="25"/>
        <v/>
      </c>
      <c r="B5762" s="187" t="str">
        <f t="shared" si="24"/>
        <v/>
      </c>
    </row>
    <row r="5763" spans="1:2" hidden="1">
      <c r="A5763" s="187" t="str">
        <f t="shared" si="25"/>
        <v/>
      </c>
      <c r="B5763" s="187" t="str">
        <f t="shared" si="24"/>
        <v/>
      </c>
    </row>
    <row r="5764" spans="1:2" hidden="1">
      <c r="A5764" s="187" t="str">
        <f t="shared" si="25"/>
        <v/>
      </c>
      <c r="B5764" s="187" t="str">
        <f t="shared" si="24"/>
        <v/>
      </c>
    </row>
    <row r="5765" spans="1:2" hidden="1">
      <c r="A5765" s="187" t="str">
        <f t="shared" si="25"/>
        <v/>
      </c>
      <c r="B5765" s="187" t="str">
        <f t="shared" si="24"/>
        <v/>
      </c>
    </row>
    <row r="5766" spans="1:2" hidden="1">
      <c r="A5766" s="187" t="str">
        <f t="shared" si="25"/>
        <v/>
      </c>
      <c r="B5766" s="187" t="str">
        <f t="shared" si="24"/>
        <v/>
      </c>
    </row>
    <row r="5767" spans="1:2" hidden="1">
      <c r="A5767" s="187" t="str">
        <f t="shared" si="25"/>
        <v/>
      </c>
      <c r="B5767" s="187" t="str">
        <f t="shared" si="24"/>
        <v/>
      </c>
    </row>
    <row r="5768" spans="1:2" hidden="1">
      <c r="A5768" s="187" t="str">
        <f t="shared" si="25"/>
        <v/>
      </c>
      <c r="B5768" s="187" t="str">
        <f t="shared" si="24"/>
        <v/>
      </c>
    </row>
    <row r="5769" spans="1:2" hidden="1">
      <c r="A5769" s="187" t="str">
        <f t="shared" si="25"/>
        <v/>
      </c>
      <c r="B5769" s="187" t="str">
        <f t="shared" si="24"/>
        <v/>
      </c>
    </row>
    <row r="5770" spans="1:2" hidden="1">
      <c r="A5770" s="187" t="str">
        <f t="shared" si="25"/>
        <v/>
      </c>
      <c r="B5770" s="187" t="str">
        <f t="shared" si="24"/>
        <v/>
      </c>
    </row>
    <row r="5771" spans="1:2" hidden="1">
      <c r="A5771" s="187" t="str">
        <f t="shared" si="25"/>
        <v/>
      </c>
      <c r="B5771" s="187" t="str">
        <f t="shared" si="24"/>
        <v/>
      </c>
    </row>
    <row r="5772" spans="1:2" hidden="1">
      <c r="A5772" s="187" t="str">
        <f t="shared" si="25"/>
        <v/>
      </c>
      <c r="B5772" s="187" t="str">
        <f t="shared" si="24"/>
        <v/>
      </c>
    </row>
    <row r="5773" spans="1:2" hidden="1">
      <c r="A5773" s="187" t="str">
        <f t="shared" si="25"/>
        <v/>
      </c>
      <c r="B5773" s="187" t="str">
        <f t="shared" si="24"/>
        <v/>
      </c>
    </row>
    <row r="5774" spans="1:2" hidden="1">
      <c r="A5774" s="187" t="str">
        <f t="shared" si="25"/>
        <v/>
      </c>
      <c r="B5774" s="187" t="str">
        <f t="shared" si="24"/>
        <v/>
      </c>
    </row>
    <row r="5775" spans="1:2" hidden="1">
      <c r="A5775" s="187" t="str">
        <f t="shared" si="25"/>
        <v/>
      </c>
      <c r="B5775" s="187" t="str">
        <f t="shared" si="24"/>
        <v/>
      </c>
    </row>
    <row r="5776" spans="1:2" hidden="1">
      <c r="A5776" s="187" t="str">
        <f t="shared" si="25"/>
        <v/>
      </c>
      <c r="B5776" s="187" t="str">
        <f t="shared" si="24"/>
        <v/>
      </c>
    </row>
    <row r="5777" spans="1:2" hidden="1">
      <c r="A5777" s="187" t="str">
        <f t="shared" si="25"/>
        <v/>
      </c>
      <c r="B5777" s="187" t="str">
        <f t="shared" si="24"/>
        <v/>
      </c>
    </row>
    <row r="5778" spans="1:2" hidden="1">
      <c r="A5778" s="187" t="str">
        <f t="shared" si="25"/>
        <v/>
      </c>
      <c r="B5778" s="187" t="str">
        <f t="shared" si="24"/>
        <v/>
      </c>
    </row>
    <row r="5779" spans="1:2" hidden="1">
      <c r="A5779" s="187" t="str">
        <f t="shared" si="25"/>
        <v/>
      </c>
      <c r="B5779" s="187" t="str">
        <f t="shared" si="24"/>
        <v/>
      </c>
    </row>
    <row r="5780" spans="1:2" hidden="1">
      <c r="A5780" s="187" t="str">
        <f t="shared" si="25"/>
        <v/>
      </c>
      <c r="B5780" s="187" t="str">
        <f t="shared" si="24"/>
        <v/>
      </c>
    </row>
    <row r="5781" spans="1:2" hidden="1">
      <c r="A5781" s="187" t="str">
        <f t="shared" si="25"/>
        <v/>
      </c>
      <c r="B5781" s="187" t="str">
        <f t="shared" si="24"/>
        <v/>
      </c>
    </row>
    <row r="5782" spans="1:2" hidden="1">
      <c r="A5782" s="187" t="str">
        <f t="shared" si="25"/>
        <v/>
      </c>
      <c r="B5782" s="187" t="str">
        <f t="shared" si="24"/>
        <v/>
      </c>
    </row>
    <row r="5783" spans="1:2" hidden="1">
      <c r="A5783" s="187" t="str">
        <f t="shared" si="25"/>
        <v/>
      </c>
      <c r="B5783" s="187" t="str">
        <f t="shared" si="24"/>
        <v/>
      </c>
    </row>
    <row r="5784" spans="1:2" hidden="1">
      <c r="A5784" s="187" t="str">
        <f t="shared" si="25"/>
        <v/>
      </c>
      <c r="B5784" s="187" t="str">
        <f t="shared" si="24"/>
        <v/>
      </c>
    </row>
    <row r="5785" spans="1:2" hidden="1">
      <c r="A5785" s="187" t="str">
        <f t="shared" si="25"/>
        <v/>
      </c>
      <c r="B5785" s="187" t="str">
        <f t="shared" si="24"/>
        <v/>
      </c>
    </row>
    <row r="5786" spans="1:2" hidden="1">
      <c r="A5786" s="187" t="str">
        <f t="shared" si="25"/>
        <v/>
      </c>
      <c r="B5786" s="187" t="str">
        <f t="shared" si="24"/>
        <v/>
      </c>
    </row>
    <row r="5787" spans="1:2" hidden="1">
      <c r="A5787" s="187" t="str">
        <f t="shared" si="25"/>
        <v/>
      </c>
      <c r="B5787" s="187" t="str">
        <f t="shared" si="24"/>
        <v/>
      </c>
    </row>
    <row r="5788" spans="1:2" hidden="1">
      <c r="A5788" s="187" t="str">
        <f t="shared" si="25"/>
        <v/>
      </c>
      <c r="B5788" s="187" t="str">
        <f t="shared" ref="B5788:B5851" si="26">HYPERLINK("http://tw.stock.yahoo.com/d/s/earning_.html","")</f>
        <v/>
      </c>
    </row>
    <row r="5789" spans="1:2" hidden="1">
      <c r="A5789" s="187" t="str">
        <f t="shared" si="25"/>
        <v/>
      </c>
      <c r="B5789" s="187" t="str">
        <f t="shared" si="26"/>
        <v/>
      </c>
    </row>
    <row r="5790" spans="1:2" hidden="1">
      <c r="A5790" s="187" t="str">
        <f t="shared" si="25"/>
        <v/>
      </c>
      <c r="B5790" s="187" t="str">
        <f t="shared" si="26"/>
        <v/>
      </c>
    </row>
    <row r="5791" spans="1:2" hidden="1">
      <c r="A5791" s="187" t="str">
        <f t="shared" ref="A5791:A5854" si="27">HYPERLINK("http://tw.stock.yahoo.com/q/ta?s=","")</f>
        <v/>
      </c>
      <c r="B5791" s="187" t="str">
        <f t="shared" si="26"/>
        <v/>
      </c>
    </row>
    <row r="5792" spans="1:2" hidden="1">
      <c r="A5792" s="187" t="str">
        <f t="shared" si="27"/>
        <v/>
      </c>
      <c r="B5792" s="187" t="str">
        <f t="shared" si="26"/>
        <v/>
      </c>
    </row>
    <row r="5793" spans="1:2" hidden="1">
      <c r="A5793" s="187" t="str">
        <f t="shared" si="27"/>
        <v/>
      </c>
      <c r="B5793" s="187" t="str">
        <f t="shared" si="26"/>
        <v/>
      </c>
    </row>
    <row r="5794" spans="1:2" hidden="1">
      <c r="A5794" s="187" t="str">
        <f t="shared" si="27"/>
        <v/>
      </c>
      <c r="B5794" s="187" t="str">
        <f t="shared" si="26"/>
        <v/>
      </c>
    </row>
    <row r="5795" spans="1:2" hidden="1">
      <c r="A5795" s="187" t="str">
        <f t="shared" si="27"/>
        <v/>
      </c>
      <c r="B5795" s="187" t="str">
        <f t="shared" si="26"/>
        <v/>
      </c>
    </row>
    <row r="5796" spans="1:2" hidden="1">
      <c r="A5796" s="187" t="str">
        <f t="shared" si="27"/>
        <v/>
      </c>
      <c r="B5796" s="187" t="str">
        <f t="shared" si="26"/>
        <v/>
      </c>
    </row>
    <row r="5797" spans="1:2" hidden="1">
      <c r="A5797" s="187" t="str">
        <f t="shared" si="27"/>
        <v/>
      </c>
      <c r="B5797" s="187" t="str">
        <f t="shared" si="26"/>
        <v/>
      </c>
    </row>
    <row r="5798" spans="1:2" hidden="1">
      <c r="A5798" s="187" t="str">
        <f t="shared" si="27"/>
        <v/>
      </c>
      <c r="B5798" s="187" t="str">
        <f t="shared" si="26"/>
        <v/>
      </c>
    </row>
    <row r="5799" spans="1:2" hidden="1">
      <c r="A5799" s="187" t="str">
        <f t="shared" si="27"/>
        <v/>
      </c>
      <c r="B5799" s="187" t="str">
        <f t="shared" si="26"/>
        <v/>
      </c>
    </row>
    <row r="5800" spans="1:2" hidden="1">
      <c r="A5800" s="187" t="str">
        <f t="shared" si="27"/>
        <v/>
      </c>
      <c r="B5800" s="187" t="str">
        <f t="shared" si="26"/>
        <v/>
      </c>
    </row>
    <row r="5801" spans="1:2" hidden="1">
      <c r="A5801" s="187" t="str">
        <f t="shared" si="27"/>
        <v/>
      </c>
      <c r="B5801" s="187" t="str">
        <f t="shared" si="26"/>
        <v/>
      </c>
    </row>
    <row r="5802" spans="1:2" hidden="1">
      <c r="A5802" s="187" t="str">
        <f t="shared" si="27"/>
        <v/>
      </c>
      <c r="B5802" s="187" t="str">
        <f t="shared" si="26"/>
        <v/>
      </c>
    </row>
    <row r="5803" spans="1:2" hidden="1">
      <c r="A5803" s="187" t="str">
        <f t="shared" si="27"/>
        <v/>
      </c>
      <c r="B5803" s="187" t="str">
        <f t="shared" si="26"/>
        <v/>
      </c>
    </row>
    <row r="5804" spans="1:2" hidden="1">
      <c r="A5804" s="187" t="str">
        <f t="shared" si="27"/>
        <v/>
      </c>
      <c r="B5804" s="187" t="str">
        <f t="shared" si="26"/>
        <v/>
      </c>
    </row>
    <row r="5805" spans="1:2" hidden="1">
      <c r="A5805" s="187" t="str">
        <f t="shared" si="27"/>
        <v/>
      </c>
      <c r="B5805" s="187" t="str">
        <f t="shared" si="26"/>
        <v/>
      </c>
    </row>
    <row r="5806" spans="1:2" hidden="1">
      <c r="A5806" s="187" t="str">
        <f t="shared" si="27"/>
        <v/>
      </c>
      <c r="B5806" s="187" t="str">
        <f t="shared" si="26"/>
        <v/>
      </c>
    </row>
    <row r="5807" spans="1:2" hidden="1">
      <c r="A5807" s="187" t="str">
        <f t="shared" si="27"/>
        <v/>
      </c>
      <c r="B5807" s="187" t="str">
        <f t="shared" si="26"/>
        <v/>
      </c>
    </row>
    <row r="5808" spans="1:2" hidden="1">
      <c r="A5808" s="187" t="str">
        <f t="shared" si="27"/>
        <v/>
      </c>
      <c r="B5808" s="187" t="str">
        <f t="shared" si="26"/>
        <v/>
      </c>
    </row>
    <row r="5809" spans="1:2" hidden="1">
      <c r="A5809" s="187" t="str">
        <f t="shared" si="27"/>
        <v/>
      </c>
      <c r="B5809" s="187" t="str">
        <f t="shared" si="26"/>
        <v/>
      </c>
    </row>
    <row r="5810" spans="1:2" hidden="1">
      <c r="A5810" s="187" t="str">
        <f t="shared" si="27"/>
        <v/>
      </c>
      <c r="B5810" s="187" t="str">
        <f t="shared" si="26"/>
        <v/>
      </c>
    </row>
    <row r="5811" spans="1:2" hidden="1">
      <c r="A5811" s="187" t="str">
        <f t="shared" si="27"/>
        <v/>
      </c>
      <c r="B5811" s="187" t="str">
        <f t="shared" si="26"/>
        <v/>
      </c>
    </row>
    <row r="5812" spans="1:2" hidden="1">
      <c r="A5812" s="187" t="str">
        <f t="shared" si="27"/>
        <v/>
      </c>
      <c r="B5812" s="187" t="str">
        <f t="shared" si="26"/>
        <v/>
      </c>
    </row>
    <row r="5813" spans="1:2" hidden="1">
      <c r="A5813" s="187" t="str">
        <f t="shared" si="27"/>
        <v/>
      </c>
      <c r="B5813" s="187" t="str">
        <f t="shared" si="26"/>
        <v/>
      </c>
    </row>
    <row r="5814" spans="1:2" hidden="1">
      <c r="A5814" s="187" t="str">
        <f t="shared" si="27"/>
        <v/>
      </c>
      <c r="B5814" s="187" t="str">
        <f t="shared" si="26"/>
        <v/>
      </c>
    </row>
    <row r="5815" spans="1:2" hidden="1">
      <c r="A5815" s="187" t="str">
        <f t="shared" si="27"/>
        <v/>
      </c>
      <c r="B5815" s="187" t="str">
        <f t="shared" si="26"/>
        <v/>
      </c>
    </row>
    <row r="5816" spans="1:2" hidden="1">
      <c r="A5816" s="187" t="str">
        <f t="shared" si="27"/>
        <v/>
      </c>
      <c r="B5816" s="187" t="str">
        <f t="shared" si="26"/>
        <v/>
      </c>
    </row>
    <row r="5817" spans="1:2" hidden="1">
      <c r="A5817" s="187" t="str">
        <f t="shared" si="27"/>
        <v/>
      </c>
      <c r="B5817" s="187" t="str">
        <f t="shared" si="26"/>
        <v/>
      </c>
    </row>
    <row r="5818" spans="1:2" hidden="1">
      <c r="A5818" s="187" t="str">
        <f t="shared" si="27"/>
        <v/>
      </c>
      <c r="B5818" s="187" t="str">
        <f t="shared" si="26"/>
        <v/>
      </c>
    </row>
    <row r="5819" spans="1:2" hidden="1">
      <c r="A5819" s="187" t="str">
        <f t="shared" si="27"/>
        <v/>
      </c>
      <c r="B5819" s="187" t="str">
        <f t="shared" si="26"/>
        <v/>
      </c>
    </row>
    <row r="5820" spans="1:2" hidden="1">
      <c r="A5820" s="187" t="str">
        <f t="shared" si="27"/>
        <v/>
      </c>
      <c r="B5820" s="187" t="str">
        <f t="shared" si="26"/>
        <v/>
      </c>
    </row>
    <row r="5821" spans="1:2" hidden="1">
      <c r="A5821" s="187" t="str">
        <f t="shared" si="27"/>
        <v/>
      </c>
      <c r="B5821" s="187" t="str">
        <f t="shared" si="26"/>
        <v/>
      </c>
    </row>
    <row r="5822" spans="1:2" hidden="1">
      <c r="A5822" s="187" t="str">
        <f t="shared" si="27"/>
        <v/>
      </c>
      <c r="B5822" s="187" t="str">
        <f t="shared" si="26"/>
        <v/>
      </c>
    </row>
    <row r="5823" spans="1:2" hidden="1">
      <c r="A5823" s="187" t="str">
        <f t="shared" si="27"/>
        <v/>
      </c>
      <c r="B5823" s="187" t="str">
        <f t="shared" si="26"/>
        <v/>
      </c>
    </row>
    <row r="5824" spans="1:2" hidden="1">
      <c r="A5824" s="187" t="str">
        <f t="shared" si="27"/>
        <v/>
      </c>
      <c r="B5824" s="187" t="str">
        <f t="shared" si="26"/>
        <v/>
      </c>
    </row>
    <row r="5825" spans="1:2" hidden="1">
      <c r="A5825" s="187" t="str">
        <f t="shared" si="27"/>
        <v/>
      </c>
      <c r="B5825" s="187" t="str">
        <f t="shared" si="26"/>
        <v/>
      </c>
    </row>
    <row r="5826" spans="1:2" hidden="1">
      <c r="A5826" s="187" t="str">
        <f t="shared" si="27"/>
        <v/>
      </c>
      <c r="B5826" s="187" t="str">
        <f t="shared" si="26"/>
        <v/>
      </c>
    </row>
    <row r="5827" spans="1:2" hidden="1">
      <c r="A5827" s="187" t="str">
        <f t="shared" si="27"/>
        <v/>
      </c>
      <c r="B5827" s="187" t="str">
        <f t="shared" si="26"/>
        <v/>
      </c>
    </row>
    <row r="5828" spans="1:2" hidden="1">
      <c r="A5828" s="187" t="str">
        <f t="shared" si="27"/>
        <v/>
      </c>
      <c r="B5828" s="187" t="str">
        <f t="shared" si="26"/>
        <v/>
      </c>
    </row>
    <row r="5829" spans="1:2" hidden="1">
      <c r="A5829" s="187" t="str">
        <f t="shared" si="27"/>
        <v/>
      </c>
      <c r="B5829" s="187" t="str">
        <f t="shared" si="26"/>
        <v/>
      </c>
    </row>
    <row r="5830" spans="1:2" hidden="1">
      <c r="A5830" s="187" t="str">
        <f t="shared" si="27"/>
        <v/>
      </c>
      <c r="B5830" s="187" t="str">
        <f t="shared" si="26"/>
        <v/>
      </c>
    </row>
    <row r="5831" spans="1:2" hidden="1">
      <c r="A5831" s="187" t="str">
        <f t="shared" si="27"/>
        <v/>
      </c>
      <c r="B5831" s="187" t="str">
        <f t="shared" si="26"/>
        <v/>
      </c>
    </row>
    <row r="5832" spans="1:2" hidden="1">
      <c r="A5832" s="187" t="str">
        <f t="shared" si="27"/>
        <v/>
      </c>
      <c r="B5832" s="187" t="str">
        <f t="shared" si="26"/>
        <v/>
      </c>
    </row>
    <row r="5833" spans="1:2" hidden="1">
      <c r="A5833" s="187" t="str">
        <f t="shared" si="27"/>
        <v/>
      </c>
      <c r="B5833" s="187" t="str">
        <f t="shared" si="26"/>
        <v/>
      </c>
    </row>
    <row r="5834" spans="1:2" hidden="1">
      <c r="A5834" s="187" t="str">
        <f t="shared" si="27"/>
        <v/>
      </c>
      <c r="B5834" s="187" t="str">
        <f t="shared" si="26"/>
        <v/>
      </c>
    </row>
    <row r="5835" spans="1:2" hidden="1">
      <c r="A5835" s="187" t="str">
        <f t="shared" si="27"/>
        <v/>
      </c>
      <c r="B5835" s="187" t="str">
        <f t="shared" si="26"/>
        <v/>
      </c>
    </row>
    <row r="5836" spans="1:2" hidden="1">
      <c r="A5836" s="187" t="str">
        <f t="shared" si="27"/>
        <v/>
      </c>
      <c r="B5836" s="187" t="str">
        <f t="shared" si="26"/>
        <v/>
      </c>
    </row>
    <row r="5837" spans="1:2" hidden="1">
      <c r="A5837" s="187" t="str">
        <f t="shared" si="27"/>
        <v/>
      </c>
      <c r="B5837" s="187" t="str">
        <f t="shared" si="26"/>
        <v/>
      </c>
    </row>
    <row r="5838" spans="1:2" hidden="1">
      <c r="A5838" s="187" t="str">
        <f t="shared" si="27"/>
        <v/>
      </c>
      <c r="B5838" s="187" t="str">
        <f t="shared" si="26"/>
        <v/>
      </c>
    </row>
    <row r="5839" spans="1:2" hidden="1">
      <c r="A5839" s="187" t="str">
        <f t="shared" si="27"/>
        <v/>
      </c>
      <c r="B5839" s="187" t="str">
        <f t="shared" si="26"/>
        <v/>
      </c>
    </row>
    <row r="5840" spans="1:2" hidden="1">
      <c r="A5840" s="187" t="str">
        <f t="shared" si="27"/>
        <v/>
      </c>
      <c r="B5840" s="187" t="str">
        <f t="shared" si="26"/>
        <v/>
      </c>
    </row>
    <row r="5841" spans="1:2" hidden="1">
      <c r="A5841" s="187" t="str">
        <f t="shared" si="27"/>
        <v/>
      </c>
      <c r="B5841" s="187" t="str">
        <f t="shared" si="26"/>
        <v/>
      </c>
    </row>
    <row r="5842" spans="1:2" hidden="1">
      <c r="A5842" s="187" t="str">
        <f t="shared" si="27"/>
        <v/>
      </c>
      <c r="B5842" s="187" t="str">
        <f t="shared" si="26"/>
        <v/>
      </c>
    </row>
    <row r="5843" spans="1:2" hidden="1">
      <c r="A5843" s="187" t="str">
        <f t="shared" si="27"/>
        <v/>
      </c>
      <c r="B5843" s="187" t="str">
        <f t="shared" si="26"/>
        <v/>
      </c>
    </row>
    <row r="5844" spans="1:2" hidden="1">
      <c r="A5844" s="187" t="str">
        <f t="shared" si="27"/>
        <v/>
      </c>
      <c r="B5844" s="187" t="str">
        <f t="shared" si="26"/>
        <v/>
      </c>
    </row>
    <row r="5845" spans="1:2" hidden="1">
      <c r="A5845" s="187" t="str">
        <f t="shared" si="27"/>
        <v/>
      </c>
      <c r="B5845" s="187" t="str">
        <f t="shared" si="26"/>
        <v/>
      </c>
    </row>
    <row r="5846" spans="1:2" hidden="1">
      <c r="A5846" s="187" t="str">
        <f t="shared" si="27"/>
        <v/>
      </c>
      <c r="B5846" s="187" t="str">
        <f t="shared" si="26"/>
        <v/>
      </c>
    </row>
    <row r="5847" spans="1:2" hidden="1">
      <c r="A5847" s="187" t="str">
        <f t="shared" si="27"/>
        <v/>
      </c>
      <c r="B5847" s="187" t="str">
        <f t="shared" si="26"/>
        <v/>
      </c>
    </row>
    <row r="5848" spans="1:2" hidden="1">
      <c r="A5848" s="187" t="str">
        <f t="shared" si="27"/>
        <v/>
      </c>
      <c r="B5848" s="187" t="str">
        <f t="shared" si="26"/>
        <v/>
      </c>
    </row>
    <row r="5849" spans="1:2" hidden="1">
      <c r="A5849" s="187" t="str">
        <f t="shared" si="27"/>
        <v/>
      </c>
      <c r="B5849" s="187" t="str">
        <f t="shared" si="26"/>
        <v/>
      </c>
    </row>
    <row r="5850" spans="1:2" hidden="1">
      <c r="A5850" s="187" t="str">
        <f t="shared" si="27"/>
        <v/>
      </c>
      <c r="B5850" s="187" t="str">
        <f t="shared" si="26"/>
        <v/>
      </c>
    </row>
    <row r="5851" spans="1:2" hidden="1">
      <c r="A5851" s="187" t="str">
        <f t="shared" si="27"/>
        <v/>
      </c>
      <c r="B5851" s="187" t="str">
        <f t="shared" si="26"/>
        <v/>
      </c>
    </row>
    <row r="5852" spans="1:2" hidden="1">
      <c r="A5852" s="187" t="str">
        <f t="shared" si="27"/>
        <v/>
      </c>
      <c r="B5852" s="187" t="str">
        <f t="shared" ref="B5852:B5915" si="28">HYPERLINK("http://tw.stock.yahoo.com/d/s/earning_.html","")</f>
        <v/>
      </c>
    </row>
    <row r="5853" spans="1:2" hidden="1">
      <c r="A5853" s="187" t="str">
        <f t="shared" si="27"/>
        <v/>
      </c>
      <c r="B5853" s="187" t="str">
        <f t="shared" si="28"/>
        <v/>
      </c>
    </row>
    <row r="5854" spans="1:2" hidden="1">
      <c r="A5854" s="187" t="str">
        <f t="shared" si="27"/>
        <v/>
      </c>
      <c r="B5854" s="187" t="str">
        <f t="shared" si="28"/>
        <v/>
      </c>
    </row>
    <row r="5855" spans="1:2" hidden="1">
      <c r="A5855" s="187" t="str">
        <f t="shared" ref="A5855:A5918" si="29">HYPERLINK("http://tw.stock.yahoo.com/q/ta?s=","")</f>
        <v/>
      </c>
      <c r="B5855" s="187" t="str">
        <f t="shared" si="28"/>
        <v/>
      </c>
    </row>
    <row r="5856" spans="1:2" hidden="1">
      <c r="A5856" s="187" t="str">
        <f t="shared" si="29"/>
        <v/>
      </c>
      <c r="B5856" s="187" t="str">
        <f t="shared" si="28"/>
        <v/>
      </c>
    </row>
    <row r="5857" spans="1:2" hidden="1">
      <c r="A5857" s="187" t="str">
        <f t="shared" si="29"/>
        <v/>
      </c>
      <c r="B5857" s="187" t="str">
        <f t="shared" si="28"/>
        <v/>
      </c>
    </row>
    <row r="5858" spans="1:2" hidden="1">
      <c r="A5858" s="187" t="str">
        <f t="shared" si="29"/>
        <v/>
      </c>
      <c r="B5858" s="187" t="str">
        <f t="shared" si="28"/>
        <v/>
      </c>
    </row>
    <row r="5859" spans="1:2" hidden="1">
      <c r="A5859" s="187" t="str">
        <f t="shared" si="29"/>
        <v/>
      </c>
      <c r="B5859" s="187" t="str">
        <f t="shared" si="28"/>
        <v/>
      </c>
    </row>
    <row r="5860" spans="1:2" hidden="1">
      <c r="A5860" s="187" t="str">
        <f t="shared" si="29"/>
        <v/>
      </c>
      <c r="B5860" s="187" t="str">
        <f t="shared" si="28"/>
        <v/>
      </c>
    </row>
    <row r="5861" spans="1:2" hidden="1">
      <c r="A5861" s="187" t="str">
        <f t="shared" si="29"/>
        <v/>
      </c>
      <c r="B5861" s="187" t="str">
        <f t="shared" si="28"/>
        <v/>
      </c>
    </row>
    <row r="5862" spans="1:2" hidden="1">
      <c r="A5862" s="187" t="str">
        <f t="shared" si="29"/>
        <v/>
      </c>
      <c r="B5862" s="187" t="str">
        <f t="shared" si="28"/>
        <v/>
      </c>
    </row>
    <row r="5863" spans="1:2" hidden="1">
      <c r="A5863" s="187" t="str">
        <f t="shared" si="29"/>
        <v/>
      </c>
      <c r="B5863" s="187" t="str">
        <f t="shared" si="28"/>
        <v/>
      </c>
    </row>
    <row r="5864" spans="1:2" hidden="1">
      <c r="A5864" s="187" t="str">
        <f t="shared" si="29"/>
        <v/>
      </c>
      <c r="B5864" s="187" t="str">
        <f t="shared" si="28"/>
        <v/>
      </c>
    </row>
    <row r="5865" spans="1:2" hidden="1">
      <c r="A5865" s="187" t="str">
        <f t="shared" si="29"/>
        <v/>
      </c>
      <c r="B5865" s="187" t="str">
        <f t="shared" si="28"/>
        <v/>
      </c>
    </row>
    <row r="5866" spans="1:2" hidden="1">
      <c r="A5866" s="187" t="str">
        <f t="shared" si="29"/>
        <v/>
      </c>
      <c r="B5866" s="187" t="str">
        <f t="shared" si="28"/>
        <v/>
      </c>
    </row>
    <row r="5867" spans="1:2" hidden="1">
      <c r="A5867" s="187" t="str">
        <f t="shared" si="29"/>
        <v/>
      </c>
      <c r="B5867" s="187" t="str">
        <f t="shared" si="28"/>
        <v/>
      </c>
    </row>
    <row r="5868" spans="1:2" hidden="1">
      <c r="A5868" s="187" t="str">
        <f t="shared" si="29"/>
        <v/>
      </c>
      <c r="B5868" s="187" t="str">
        <f t="shared" si="28"/>
        <v/>
      </c>
    </row>
    <row r="5869" spans="1:2" hidden="1">
      <c r="A5869" s="187" t="str">
        <f t="shared" si="29"/>
        <v/>
      </c>
      <c r="B5869" s="187" t="str">
        <f t="shared" si="28"/>
        <v/>
      </c>
    </row>
    <row r="5870" spans="1:2" hidden="1">
      <c r="A5870" s="187" t="str">
        <f t="shared" si="29"/>
        <v/>
      </c>
      <c r="B5870" s="187" t="str">
        <f t="shared" si="28"/>
        <v/>
      </c>
    </row>
    <row r="5871" spans="1:2" hidden="1">
      <c r="A5871" s="187" t="str">
        <f t="shared" si="29"/>
        <v/>
      </c>
      <c r="B5871" s="187" t="str">
        <f t="shared" si="28"/>
        <v/>
      </c>
    </row>
    <row r="5872" spans="1:2" hidden="1">
      <c r="A5872" s="187" t="str">
        <f t="shared" si="29"/>
        <v/>
      </c>
      <c r="B5872" s="187" t="str">
        <f t="shared" si="28"/>
        <v/>
      </c>
    </row>
    <row r="5873" spans="1:2" hidden="1">
      <c r="A5873" s="187" t="str">
        <f t="shared" si="29"/>
        <v/>
      </c>
      <c r="B5873" s="187" t="str">
        <f t="shared" si="28"/>
        <v/>
      </c>
    </row>
    <row r="5874" spans="1:2" hidden="1">
      <c r="A5874" s="187" t="str">
        <f t="shared" si="29"/>
        <v/>
      </c>
      <c r="B5874" s="187" t="str">
        <f t="shared" si="28"/>
        <v/>
      </c>
    </row>
    <row r="5875" spans="1:2" hidden="1">
      <c r="A5875" s="187" t="str">
        <f t="shared" si="29"/>
        <v/>
      </c>
      <c r="B5875" s="187" t="str">
        <f t="shared" si="28"/>
        <v/>
      </c>
    </row>
    <row r="5876" spans="1:2" hidden="1">
      <c r="A5876" s="187" t="str">
        <f t="shared" si="29"/>
        <v/>
      </c>
      <c r="B5876" s="187" t="str">
        <f t="shared" si="28"/>
        <v/>
      </c>
    </row>
    <row r="5877" spans="1:2" hidden="1">
      <c r="A5877" s="187" t="str">
        <f t="shared" si="29"/>
        <v/>
      </c>
      <c r="B5877" s="187" t="str">
        <f t="shared" si="28"/>
        <v/>
      </c>
    </row>
    <row r="5878" spans="1:2" hidden="1">
      <c r="A5878" s="187" t="str">
        <f t="shared" si="29"/>
        <v/>
      </c>
      <c r="B5878" s="187" t="str">
        <f t="shared" si="28"/>
        <v/>
      </c>
    </row>
    <row r="5879" spans="1:2" hidden="1">
      <c r="A5879" s="187" t="str">
        <f t="shared" si="29"/>
        <v/>
      </c>
      <c r="B5879" s="187" t="str">
        <f t="shared" si="28"/>
        <v/>
      </c>
    </row>
    <row r="5880" spans="1:2" hidden="1">
      <c r="A5880" s="187" t="str">
        <f t="shared" si="29"/>
        <v/>
      </c>
      <c r="B5880" s="187" t="str">
        <f t="shared" si="28"/>
        <v/>
      </c>
    </row>
    <row r="5881" spans="1:2" hidden="1">
      <c r="A5881" s="187" t="str">
        <f t="shared" si="29"/>
        <v/>
      </c>
      <c r="B5881" s="187" t="str">
        <f t="shared" si="28"/>
        <v/>
      </c>
    </row>
    <row r="5882" spans="1:2" hidden="1">
      <c r="A5882" s="187" t="str">
        <f t="shared" si="29"/>
        <v/>
      </c>
      <c r="B5882" s="187" t="str">
        <f t="shared" si="28"/>
        <v/>
      </c>
    </row>
    <row r="5883" spans="1:2" hidden="1">
      <c r="A5883" s="187" t="str">
        <f t="shared" si="29"/>
        <v/>
      </c>
      <c r="B5883" s="187" t="str">
        <f t="shared" si="28"/>
        <v/>
      </c>
    </row>
    <row r="5884" spans="1:2" hidden="1">
      <c r="A5884" s="187" t="str">
        <f t="shared" si="29"/>
        <v/>
      </c>
      <c r="B5884" s="187" t="str">
        <f t="shared" si="28"/>
        <v/>
      </c>
    </row>
    <row r="5885" spans="1:2" hidden="1">
      <c r="A5885" s="187" t="str">
        <f t="shared" si="29"/>
        <v/>
      </c>
      <c r="B5885" s="187" t="str">
        <f t="shared" si="28"/>
        <v/>
      </c>
    </row>
    <row r="5886" spans="1:2" hidden="1">
      <c r="A5886" s="187" t="str">
        <f t="shared" si="29"/>
        <v/>
      </c>
      <c r="B5886" s="187" t="str">
        <f t="shared" si="28"/>
        <v/>
      </c>
    </row>
    <row r="5887" spans="1:2" hidden="1">
      <c r="A5887" s="187" t="str">
        <f t="shared" si="29"/>
        <v/>
      </c>
      <c r="B5887" s="187" t="str">
        <f t="shared" si="28"/>
        <v/>
      </c>
    </row>
    <row r="5888" spans="1:2" hidden="1">
      <c r="A5888" s="187" t="str">
        <f t="shared" si="29"/>
        <v/>
      </c>
      <c r="B5888" s="187" t="str">
        <f t="shared" si="28"/>
        <v/>
      </c>
    </row>
    <row r="5889" spans="1:2" hidden="1">
      <c r="A5889" s="187" t="str">
        <f t="shared" si="29"/>
        <v/>
      </c>
      <c r="B5889" s="187" t="str">
        <f t="shared" si="28"/>
        <v/>
      </c>
    </row>
    <row r="5890" spans="1:2" hidden="1">
      <c r="A5890" s="187" t="str">
        <f t="shared" si="29"/>
        <v/>
      </c>
      <c r="B5890" s="187" t="str">
        <f t="shared" si="28"/>
        <v/>
      </c>
    </row>
    <row r="5891" spans="1:2" hidden="1">
      <c r="A5891" s="187" t="str">
        <f t="shared" si="29"/>
        <v/>
      </c>
      <c r="B5891" s="187" t="str">
        <f t="shared" si="28"/>
        <v/>
      </c>
    </row>
    <row r="5892" spans="1:2" hidden="1">
      <c r="A5892" s="187" t="str">
        <f t="shared" si="29"/>
        <v/>
      </c>
      <c r="B5892" s="187" t="str">
        <f t="shared" si="28"/>
        <v/>
      </c>
    </row>
    <row r="5893" spans="1:2" hidden="1">
      <c r="A5893" s="187" t="str">
        <f t="shared" si="29"/>
        <v/>
      </c>
      <c r="B5893" s="187" t="str">
        <f t="shared" si="28"/>
        <v/>
      </c>
    </row>
    <row r="5894" spans="1:2" hidden="1">
      <c r="A5894" s="187" t="str">
        <f t="shared" si="29"/>
        <v/>
      </c>
      <c r="B5894" s="187" t="str">
        <f t="shared" si="28"/>
        <v/>
      </c>
    </row>
    <row r="5895" spans="1:2" hidden="1">
      <c r="A5895" s="187" t="str">
        <f t="shared" si="29"/>
        <v/>
      </c>
      <c r="B5895" s="187" t="str">
        <f t="shared" si="28"/>
        <v/>
      </c>
    </row>
    <row r="5896" spans="1:2" hidden="1">
      <c r="A5896" s="187" t="str">
        <f t="shared" si="29"/>
        <v/>
      </c>
      <c r="B5896" s="187" t="str">
        <f t="shared" si="28"/>
        <v/>
      </c>
    </row>
    <row r="5897" spans="1:2" hidden="1">
      <c r="A5897" s="187" t="str">
        <f t="shared" si="29"/>
        <v/>
      </c>
      <c r="B5897" s="187" t="str">
        <f t="shared" si="28"/>
        <v/>
      </c>
    </row>
    <row r="5898" spans="1:2" hidden="1">
      <c r="A5898" s="187" t="str">
        <f t="shared" si="29"/>
        <v/>
      </c>
      <c r="B5898" s="187" t="str">
        <f t="shared" si="28"/>
        <v/>
      </c>
    </row>
    <row r="5899" spans="1:2" hidden="1">
      <c r="A5899" s="187" t="str">
        <f t="shared" si="29"/>
        <v/>
      </c>
      <c r="B5899" s="187" t="str">
        <f t="shared" si="28"/>
        <v/>
      </c>
    </row>
    <row r="5900" spans="1:2" hidden="1">
      <c r="A5900" s="187" t="str">
        <f t="shared" si="29"/>
        <v/>
      </c>
      <c r="B5900" s="187" t="str">
        <f t="shared" si="28"/>
        <v/>
      </c>
    </row>
    <row r="5901" spans="1:2" hidden="1">
      <c r="A5901" s="187" t="str">
        <f t="shared" si="29"/>
        <v/>
      </c>
      <c r="B5901" s="187" t="str">
        <f t="shared" si="28"/>
        <v/>
      </c>
    </row>
    <row r="5902" spans="1:2" hidden="1">
      <c r="A5902" s="187" t="str">
        <f t="shared" si="29"/>
        <v/>
      </c>
      <c r="B5902" s="187" t="str">
        <f t="shared" si="28"/>
        <v/>
      </c>
    </row>
    <row r="5903" spans="1:2" hidden="1">
      <c r="A5903" s="187" t="str">
        <f t="shared" si="29"/>
        <v/>
      </c>
      <c r="B5903" s="187" t="str">
        <f t="shared" si="28"/>
        <v/>
      </c>
    </row>
    <row r="5904" spans="1:2" hidden="1">
      <c r="A5904" s="187" t="str">
        <f t="shared" si="29"/>
        <v/>
      </c>
      <c r="B5904" s="187" t="str">
        <f t="shared" si="28"/>
        <v/>
      </c>
    </row>
    <row r="5905" spans="1:2" hidden="1">
      <c r="A5905" s="187" t="str">
        <f t="shared" si="29"/>
        <v/>
      </c>
      <c r="B5905" s="187" t="str">
        <f t="shared" si="28"/>
        <v/>
      </c>
    </row>
    <row r="5906" spans="1:2" hidden="1">
      <c r="A5906" s="187" t="str">
        <f t="shared" si="29"/>
        <v/>
      </c>
      <c r="B5906" s="187" t="str">
        <f t="shared" si="28"/>
        <v/>
      </c>
    </row>
    <row r="5907" spans="1:2" hidden="1">
      <c r="A5907" s="187" t="str">
        <f t="shared" si="29"/>
        <v/>
      </c>
      <c r="B5907" s="187" t="str">
        <f t="shared" si="28"/>
        <v/>
      </c>
    </row>
    <row r="5908" spans="1:2" hidden="1">
      <c r="A5908" s="187" t="str">
        <f t="shared" si="29"/>
        <v/>
      </c>
      <c r="B5908" s="187" t="str">
        <f t="shared" si="28"/>
        <v/>
      </c>
    </row>
    <row r="5909" spans="1:2" hidden="1">
      <c r="A5909" s="187" t="str">
        <f t="shared" si="29"/>
        <v/>
      </c>
      <c r="B5909" s="187" t="str">
        <f t="shared" si="28"/>
        <v/>
      </c>
    </row>
    <row r="5910" spans="1:2" hidden="1">
      <c r="A5910" s="187" t="str">
        <f t="shared" si="29"/>
        <v/>
      </c>
      <c r="B5910" s="187" t="str">
        <f t="shared" si="28"/>
        <v/>
      </c>
    </row>
    <row r="5911" spans="1:2" hidden="1">
      <c r="A5911" s="187" t="str">
        <f t="shared" si="29"/>
        <v/>
      </c>
      <c r="B5911" s="187" t="str">
        <f t="shared" si="28"/>
        <v/>
      </c>
    </row>
    <row r="5912" spans="1:2" hidden="1">
      <c r="A5912" s="187" t="str">
        <f t="shared" si="29"/>
        <v/>
      </c>
      <c r="B5912" s="187" t="str">
        <f t="shared" si="28"/>
        <v/>
      </c>
    </row>
    <row r="5913" spans="1:2" hidden="1">
      <c r="A5913" s="187" t="str">
        <f t="shared" si="29"/>
        <v/>
      </c>
      <c r="B5913" s="187" t="str">
        <f t="shared" si="28"/>
        <v/>
      </c>
    </row>
    <row r="5914" spans="1:2" hidden="1">
      <c r="A5914" s="187" t="str">
        <f t="shared" si="29"/>
        <v/>
      </c>
      <c r="B5914" s="187" t="str">
        <f t="shared" si="28"/>
        <v/>
      </c>
    </row>
    <row r="5915" spans="1:2" hidden="1">
      <c r="A5915" s="187" t="str">
        <f t="shared" si="29"/>
        <v/>
      </c>
      <c r="B5915" s="187" t="str">
        <f t="shared" si="28"/>
        <v/>
      </c>
    </row>
    <row r="5916" spans="1:2" hidden="1">
      <c r="A5916" s="187" t="str">
        <f t="shared" si="29"/>
        <v/>
      </c>
      <c r="B5916" s="187" t="str">
        <f t="shared" ref="B5916:B5979" si="30">HYPERLINK("http://tw.stock.yahoo.com/d/s/earning_.html","")</f>
        <v/>
      </c>
    </row>
    <row r="5917" spans="1:2" hidden="1">
      <c r="A5917" s="187" t="str">
        <f t="shared" si="29"/>
        <v/>
      </c>
      <c r="B5917" s="187" t="str">
        <f t="shared" si="30"/>
        <v/>
      </c>
    </row>
    <row r="5918" spans="1:2" hidden="1">
      <c r="A5918" s="187" t="str">
        <f t="shared" si="29"/>
        <v/>
      </c>
      <c r="B5918" s="187" t="str">
        <f t="shared" si="30"/>
        <v/>
      </c>
    </row>
    <row r="5919" spans="1:2" hidden="1">
      <c r="A5919" s="187" t="str">
        <f t="shared" ref="A5919:A5982" si="31">HYPERLINK("http://tw.stock.yahoo.com/q/ta?s=","")</f>
        <v/>
      </c>
      <c r="B5919" s="187" t="str">
        <f t="shared" si="30"/>
        <v/>
      </c>
    </row>
    <row r="5920" spans="1:2" hidden="1">
      <c r="A5920" s="187" t="str">
        <f t="shared" si="31"/>
        <v/>
      </c>
      <c r="B5920" s="187" t="str">
        <f t="shared" si="30"/>
        <v/>
      </c>
    </row>
    <row r="5921" spans="1:2" hidden="1">
      <c r="A5921" s="187" t="str">
        <f t="shared" si="31"/>
        <v/>
      </c>
      <c r="B5921" s="187" t="str">
        <f t="shared" si="30"/>
        <v/>
      </c>
    </row>
    <row r="5922" spans="1:2" hidden="1">
      <c r="A5922" s="187" t="str">
        <f t="shared" si="31"/>
        <v/>
      </c>
      <c r="B5922" s="187" t="str">
        <f t="shared" si="30"/>
        <v/>
      </c>
    </row>
    <row r="5923" spans="1:2" hidden="1">
      <c r="A5923" s="187" t="str">
        <f t="shared" si="31"/>
        <v/>
      </c>
      <c r="B5923" s="187" t="str">
        <f t="shared" si="30"/>
        <v/>
      </c>
    </row>
    <row r="5924" spans="1:2" hidden="1">
      <c r="A5924" s="187" t="str">
        <f t="shared" si="31"/>
        <v/>
      </c>
      <c r="B5924" s="187" t="str">
        <f t="shared" si="30"/>
        <v/>
      </c>
    </row>
    <row r="5925" spans="1:2" hidden="1">
      <c r="A5925" s="187" t="str">
        <f t="shared" si="31"/>
        <v/>
      </c>
      <c r="B5925" s="187" t="str">
        <f t="shared" si="30"/>
        <v/>
      </c>
    </row>
    <row r="5926" spans="1:2" hidden="1">
      <c r="A5926" s="187" t="str">
        <f t="shared" si="31"/>
        <v/>
      </c>
      <c r="B5926" s="187" t="str">
        <f t="shared" si="30"/>
        <v/>
      </c>
    </row>
    <row r="5927" spans="1:2" hidden="1">
      <c r="A5927" s="187" t="str">
        <f t="shared" si="31"/>
        <v/>
      </c>
      <c r="B5927" s="187" t="str">
        <f t="shared" si="30"/>
        <v/>
      </c>
    </row>
    <row r="5928" spans="1:2" hidden="1">
      <c r="A5928" s="187" t="str">
        <f t="shared" si="31"/>
        <v/>
      </c>
      <c r="B5928" s="187" t="str">
        <f t="shared" si="30"/>
        <v/>
      </c>
    </row>
    <row r="5929" spans="1:2" hidden="1">
      <c r="A5929" s="187" t="str">
        <f t="shared" si="31"/>
        <v/>
      </c>
      <c r="B5929" s="187" t="str">
        <f t="shared" si="30"/>
        <v/>
      </c>
    </row>
    <row r="5930" spans="1:2" hidden="1">
      <c r="A5930" s="187" t="str">
        <f t="shared" si="31"/>
        <v/>
      </c>
      <c r="B5930" s="187" t="str">
        <f t="shared" si="30"/>
        <v/>
      </c>
    </row>
    <row r="5931" spans="1:2" hidden="1">
      <c r="A5931" s="187" t="str">
        <f t="shared" si="31"/>
        <v/>
      </c>
      <c r="B5931" s="187" t="str">
        <f t="shared" si="30"/>
        <v/>
      </c>
    </row>
    <row r="5932" spans="1:2" hidden="1">
      <c r="A5932" s="187" t="str">
        <f t="shared" si="31"/>
        <v/>
      </c>
      <c r="B5932" s="187" t="str">
        <f t="shared" si="30"/>
        <v/>
      </c>
    </row>
    <row r="5933" spans="1:2" hidden="1">
      <c r="A5933" s="187" t="str">
        <f t="shared" si="31"/>
        <v/>
      </c>
      <c r="B5933" s="187" t="str">
        <f t="shared" si="30"/>
        <v/>
      </c>
    </row>
    <row r="5934" spans="1:2" hidden="1">
      <c r="A5934" s="187" t="str">
        <f t="shared" si="31"/>
        <v/>
      </c>
      <c r="B5934" s="187" t="str">
        <f t="shared" si="30"/>
        <v/>
      </c>
    </row>
    <row r="5935" spans="1:2" hidden="1">
      <c r="A5935" s="187" t="str">
        <f t="shared" si="31"/>
        <v/>
      </c>
      <c r="B5935" s="187" t="str">
        <f t="shared" si="30"/>
        <v/>
      </c>
    </row>
    <row r="5936" spans="1:2" hidden="1">
      <c r="A5936" s="187" t="str">
        <f t="shared" si="31"/>
        <v/>
      </c>
      <c r="B5936" s="187" t="str">
        <f t="shared" si="30"/>
        <v/>
      </c>
    </row>
    <row r="5937" spans="1:2" hidden="1">
      <c r="A5937" s="187" t="str">
        <f t="shared" si="31"/>
        <v/>
      </c>
      <c r="B5937" s="187" t="str">
        <f t="shared" si="30"/>
        <v/>
      </c>
    </row>
    <row r="5938" spans="1:2" hidden="1">
      <c r="A5938" s="187" t="str">
        <f t="shared" si="31"/>
        <v/>
      </c>
      <c r="B5938" s="187" t="str">
        <f t="shared" si="30"/>
        <v/>
      </c>
    </row>
    <row r="5939" spans="1:2" hidden="1">
      <c r="A5939" s="187" t="str">
        <f t="shared" si="31"/>
        <v/>
      </c>
      <c r="B5939" s="187" t="str">
        <f t="shared" si="30"/>
        <v/>
      </c>
    </row>
    <row r="5940" spans="1:2" hidden="1">
      <c r="A5940" s="187" t="str">
        <f t="shared" si="31"/>
        <v/>
      </c>
      <c r="B5940" s="187" t="str">
        <f t="shared" si="30"/>
        <v/>
      </c>
    </row>
    <row r="5941" spans="1:2" hidden="1">
      <c r="A5941" s="187" t="str">
        <f t="shared" si="31"/>
        <v/>
      </c>
      <c r="B5941" s="187" t="str">
        <f t="shared" si="30"/>
        <v/>
      </c>
    </row>
    <row r="5942" spans="1:2" hidden="1">
      <c r="A5942" s="187" t="str">
        <f t="shared" si="31"/>
        <v/>
      </c>
      <c r="B5942" s="187" t="str">
        <f t="shared" si="30"/>
        <v/>
      </c>
    </row>
    <row r="5943" spans="1:2" hidden="1">
      <c r="A5943" s="187" t="str">
        <f t="shared" si="31"/>
        <v/>
      </c>
      <c r="B5943" s="187" t="str">
        <f t="shared" si="30"/>
        <v/>
      </c>
    </row>
    <row r="5944" spans="1:2" hidden="1">
      <c r="A5944" s="187" t="str">
        <f t="shared" si="31"/>
        <v/>
      </c>
      <c r="B5944" s="187" t="str">
        <f t="shared" si="30"/>
        <v/>
      </c>
    </row>
    <row r="5945" spans="1:2" hidden="1">
      <c r="A5945" s="187" t="str">
        <f t="shared" si="31"/>
        <v/>
      </c>
      <c r="B5945" s="187" t="str">
        <f t="shared" si="30"/>
        <v/>
      </c>
    </row>
    <row r="5946" spans="1:2" hidden="1">
      <c r="A5946" s="187" t="str">
        <f t="shared" si="31"/>
        <v/>
      </c>
      <c r="B5946" s="187" t="str">
        <f t="shared" si="30"/>
        <v/>
      </c>
    </row>
    <row r="5947" spans="1:2" hidden="1">
      <c r="A5947" s="187" t="str">
        <f t="shared" si="31"/>
        <v/>
      </c>
      <c r="B5947" s="187" t="str">
        <f t="shared" si="30"/>
        <v/>
      </c>
    </row>
    <row r="5948" spans="1:2" hidden="1">
      <c r="A5948" s="187" t="str">
        <f t="shared" si="31"/>
        <v/>
      </c>
      <c r="B5948" s="187" t="str">
        <f t="shared" si="30"/>
        <v/>
      </c>
    </row>
    <row r="5949" spans="1:2" hidden="1">
      <c r="A5949" s="187" t="str">
        <f t="shared" si="31"/>
        <v/>
      </c>
      <c r="B5949" s="187" t="str">
        <f t="shared" si="30"/>
        <v/>
      </c>
    </row>
    <row r="5950" spans="1:2" hidden="1">
      <c r="A5950" s="187" t="str">
        <f t="shared" si="31"/>
        <v/>
      </c>
      <c r="B5950" s="187" t="str">
        <f t="shared" si="30"/>
        <v/>
      </c>
    </row>
    <row r="5951" spans="1:2" hidden="1">
      <c r="A5951" s="187" t="str">
        <f t="shared" si="31"/>
        <v/>
      </c>
      <c r="B5951" s="187" t="str">
        <f t="shared" si="30"/>
        <v/>
      </c>
    </row>
    <row r="5952" spans="1:2" hidden="1">
      <c r="A5952" s="187" t="str">
        <f t="shared" si="31"/>
        <v/>
      </c>
      <c r="B5952" s="187" t="str">
        <f t="shared" si="30"/>
        <v/>
      </c>
    </row>
    <row r="5953" spans="1:2" hidden="1">
      <c r="A5953" s="187" t="str">
        <f t="shared" si="31"/>
        <v/>
      </c>
      <c r="B5953" s="187" t="str">
        <f t="shared" si="30"/>
        <v/>
      </c>
    </row>
    <row r="5954" spans="1:2" hidden="1">
      <c r="A5954" s="187" t="str">
        <f t="shared" si="31"/>
        <v/>
      </c>
      <c r="B5954" s="187" t="str">
        <f t="shared" si="30"/>
        <v/>
      </c>
    </row>
    <row r="5955" spans="1:2" hidden="1">
      <c r="A5955" s="187" t="str">
        <f t="shared" si="31"/>
        <v/>
      </c>
      <c r="B5955" s="187" t="str">
        <f t="shared" si="30"/>
        <v/>
      </c>
    </row>
    <row r="5956" spans="1:2" hidden="1">
      <c r="A5956" s="187" t="str">
        <f t="shared" si="31"/>
        <v/>
      </c>
      <c r="B5956" s="187" t="str">
        <f t="shared" si="30"/>
        <v/>
      </c>
    </row>
    <row r="5957" spans="1:2" hidden="1">
      <c r="A5957" s="187" t="str">
        <f t="shared" si="31"/>
        <v/>
      </c>
      <c r="B5957" s="187" t="str">
        <f t="shared" si="30"/>
        <v/>
      </c>
    </row>
    <row r="5958" spans="1:2" hidden="1">
      <c r="A5958" s="187" t="str">
        <f t="shared" si="31"/>
        <v/>
      </c>
      <c r="B5958" s="187" t="str">
        <f t="shared" si="30"/>
        <v/>
      </c>
    </row>
    <row r="5959" spans="1:2" hidden="1">
      <c r="A5959" s="187" t="str">
        <f t="shared" si="31"/>
        <v/>
      </c>
      <c r="B5959" s="187" t="str">
        <f t="shared" si="30"/>
        <v/>
      </c>
    </row>
    <row r="5960" spans="1:2" hidden="1">
      <c r="A5960" s="187" t="str">
        <f t="shared" si="31"/>
        <v/>
      </c>
      <c r="B5960" s="187" t="str">
        <f t="shared" si="30"/>
        <v/>
      </c>
    </row>
    <row r="5961" spans="1:2" hidden="1">
      <c r="A5961" s="187" t="str">
        <f t="shared" si="31"/>
        <v/>
      </c>
      <c r="B5961" s="187" t="str">
        <f t="shared" si="30"/>
        <v/>
      </c>
    </row>
    <row r="5962" spans="1:2" hidden="1">
      <c r="A5962" s="187" t="str">
        <f t="shared" si="31"/>
        <v/>
      </c>
      <c r="B5962" s="187" t="str">
        <f t="shared" si="30"/>
        <v/>
      </c>
    </row>
    <row r="5963" spans="1:2" hidden="1">
      <c r="A5963" s="187" t="str">
        <f t="shared" si="31"/>
        <v/>
      </c>
      <c r="B5963" s="187" t="str">
        <f t="shared" si="30"/>
        <v/>
      </c>
    </row>
    <row r="5964" spans="1:2" hidden="1">
      <c r="A5964" s="187" t="str">
        <f t="shared" si="31"/>
        <v/>
      </c>
      <c r="B5964" s="187" t="str">
        <f t="shared" si="30"/>
        <v/>
      </c>
    </row>
    <row r="5965" spans="1:2" hidden="1">
      <c r="A5965" s="187" t="str">
        <f t="shared" si="31"/>
        <v/>
      </c>
      <c r="B5965" s="187" t="str">
        <f t="shared" si="30"/>
        <v/>
      </c>
    </row>
    <row r="5966" spans="1:2" hidden="1">
      <c r="A5966" s="187" t="str">
        <f t="shared" si="31"/>
        <v/>
      </c>
      <c r="B5966" s="187" t="str">
        <f t="shared" si="30"/>
        <v/>
      </c>
    </row>
    <row r="5967" spans="1:2" hidden="1">
      <c r="A5967" s="187" t="str">
        <f t="shared" si="31"/>
        <v/>
      </c>
      <c r="B5967" s="187" t="str">
        <f t="shared" si="30"/>
        <v/>
      </c>
    </row>
    <row r="5968" spans="1:2" hidden="1">
      <c r="A5968" s="187" t="str">
        <f t="shared" si="31"/>
        <v/>
      </c>
      <c r="B5968" s="187" t="str">
        <f t="shared" si="30"/>
        <v/>
      </c>
    </row>
    <row r="5969" spans="1:2" hidden="1">
      <c r="A5969" s="187" t="str">
        <f t="shared" si="31"/>
        <v/>
      </c>
      <c r="B5969" s="187" t="str">
        <f t="shared" si="30"/>
        <v/>
      </c>
    </row>
    <row r="5970" spans="1:2" hidden="1">
      <c r="A5970" s="187" t="str">
        <f t="shared" si="31"/>
        <v/>
      </c>
      <c r="B5970" s="187" t="str">
        <f t="shared" si="30"/>
        <v/>
      </c>
    </row>
    <row r="5971" spans="1:2" hidden="1">
      <c r="A5971" s="187" t="str">
        <f t="shared" si="31"/>
        <v/>
      </c>
      <c r="B5971" s="187" t="str">
        <f t="shared" si="30"/>
        <v/>
      </c>
    </row>
    <row r="5972" spans="1:2" hidden="1">
      <c r="A5972" s="187" t="str">
        <f t="shared" si="31"/>
        <v/>
      </c>
      <c r="B5972" s="187" t="str">
        <f t="shared" si="30"/>
        <v/>
      </c>
    </row>
    <row r="5973" spans="1:2" hidden="1">
      <c r="A5973" s="187" t="str">
        <f t="shared" si="31"/>
        <v/>
      </c>
      <c r="B5973" s="187" t="str">
        <f t="shared" si="30"/>
        <v/>
      </c>
    </row>
    <row r="5974" spans="1:2" hidden="1">
      <c r="A5974" s="187" t="str">
        <f t="shared" si="31"/>
        <v/>
      </c>
      <c r="B5974" s="187" t="str">
        <f t="shared" si="30"/>
        <v/>
      </c>
    </row>
    <row r="5975" spans="1:2" hidden="1">
      <c r="A5975" s="187" t="str">
        <f t="shared" si="31"/>
        <v/>
      </c>
      <c r="B5975" s="187" t="str">
        <f t="shared" si="30"/>
        <v/>
      </c>
    </row>
    <row r="5976" spans="1:2" hidden="1">
      <c r="A5976" s="187" t="str">
        <f t="shared" si="31"/>
        <v/>
      </c>
      <c r="B5976" s="187" t="str">
        <f t="shared" si="30"/>
        <v/>
      </c>
    </row>
    <row r="5977" spans="1:2" hidden="1">
      <c r="A5977" s="187" t="str">
        <f t="shared" si="31"/>
        <v/>
      </c>
      <c r="B5977" s="187" t="str">
        <f t="shared" si="30"/>
        <v/>
      </c>
    </row>
    <row r="5978" spans="1:2" hidden="1">
      <c r="A5978" s="187" t="str">
        <f t="shared" si="31"/>
        <v/>
      </c>
      <c r="B5978" s="187" t="str">
        <f t="shared" si="30"/>
        <v/>
      </c>
    </row>
    <row r="5979" spans="1:2" hidden="1">
      <c r="A5979" s="187" t="str">
        <f t="shared" si="31"/>
        <v/>
      </c>
      <c r="B5979" s="187" t="str">
        <f t="shared" si="30"/>
        <v/>
      </c>
    </row>
    <row r="5980" spans="1:2" hidden="1">
      <c r="A5980" s="187" t="str">
        <f t="shared" si="31"/>
        <v/>
      </c>
      <c r="B5980" s="187" t="str">
        <f t="shared" ref="B5980:B6043" si="32">HYPERLINK("http://tw.stock.yahoo.com/d/s/earning_.html","")</f>
        <v/>
      </c>
    </row>
    <row r="5981" spans="1:2" hidden="1">
      <c r="A5981" s="187" t="str">
        <f t="shared" si="31"/>
        <v/>
      </c>
      <c r="B5981" s="187" t="str">
        <f t="shared" si="32"/>
        <v/>
      </c>
    </row>
    <row r="5982" spans="1:2" hidden="1">
      <c r="A5982" s="187" t="str">
        <f t="shared" si="31"/>
        <v/>
      </c>
      <c r="B5982" s="187" t="str">
        <f t="shared" si="32"/>
        <v/>
      </c>
    </row>
    <row r="5983" spans="1:2" hidden="1">
      <c r="A5983" s="187" t="str">
        <f t="shared" ref="A5983:A6046" si="33">HYPERLINK("http://tw.stock.yahoo.com/q/ta?s=","")</f>
        <v/>
      </c>
      <c r="B5983" s="187" t="str">
        <f t="shared" si="32"/>
        <v/>
      </c>
    </row>
    <row r="5984" spans="1:2" hidden="1">
      <c r="A5984" s="187" t="str">
        <f t="shared" si="33"/>
        <v/>
      </c>
      <c r="B5984" s="187" t="str">
        <f t="shared" si="32"/>
        <v/>
      </c>
    </row>
    <row r="5985" spans="1:2" hidden="1">
      <c r="A5985" s="187" t="str">
        <f t="shared" si="33"/>
        <v/>
      </c>
      <c r="B5985" s="187" t="str">
        <f t="shared" si="32"/>
        <v/>
      </c>
    </row>
    <row r="5986" spans="1:2" hidden="1">
      <c r="A5986" s="187" t="str">
        <f t="shared" si="33"/>
        <v/>
      </c>
      <c r="B5986" s="187" t="str">
        <f t="shared" si="32"/>
        <v/>
      </c>
    </row>
    <row r="5987" spans="1:2" hidden="1">
      <c r="A5987" s="187" t="str">
        <f t="shared" si="33"/>
        <v/>
      </c>
      <c r="B5987" s="187" t="str">
        <f t="shared" si="32"/>
        <v/>
      </c>
    </row>
    <row r="5988" spans="1:2" hidden="1">
      <c r="A5988" s="187" t="str">
        <f t="shared" si="33"/>
        <v/>
      </c>
      <c r="B5988" s="187" t="str">
        <f t="shared" si="32"/>
        <v/>
      </c>
    </row>
    <row r="5989" spans="1:2" hidden="1">
      <c r="A5989" s="187" t="str">
        <f t="shared" si="33"/>
        <v/>
      </c>
      <c r="B5989" s="187" t="str">
        <f t="shared" si="32"/>
        <v/>
      </c>
    </row>
    <row r="5990" spans="1:2" hidden="1">
      <c r="A5990" s="187" t="str">
        <f t="shared" si="33"/>
        <v/>
      </c>
      <c r="B5990" s="187" t="str">
        <f t="shared" si="32"/>
        <v/>
      </c>
    </row>
    <row r="5991" spans="1:2" hidden="1">
      <c r="A5991" s="187" t="str">
        <f t="shared" si="33"/>
        <v/>
      </c>
      <c r="B5991" s="187" t="str">
        <f t="shared" si="32"/>
        <v/>
      </c>
    </row>
    <row r="5992" spans="1:2" hidden="1">
      <c r="A5992" s="187" t="str">
        <f t="shared" si="33"/>
        <v/>
      </c>
      <c r="B5992" s="187" t="str">
        <f t="shared" si="32"/>
        <v/>
      </c>
    </row>
    <row r="5993" spans="1:2" hidden="1">
      <c r="A5993" s="187" t="str">
        <f t="shared" si="33"/>
        <v/>
      </c>
      <c r="B5993" s="187" t="str">
        <f t="shared" si="32"/>
        <v/>
      </c>
    </row>
    <row r="5994" spans="1:2" hidden="1">
      <c r="A5994" s="187" t="str">
        <f t="shared" si="33"/>
        <v/>
      </c>
      <c r="B5994" s="187" t="str">
        <f t="shared" si="32"/>
        <v/>
      </c>
    </row>
    <row r="5995" spans="1:2" hidden="1">
      <c r="A5995" s="187" t="str">
        <f t="shared" si="33"/>
        <v/>
      </c>
      <c r="B5995" s="187" t="str">
        <f t="shared" si="32"/>
        <v/>
      </c>
    </row>
    <row r="5996" spans="1:2" hidden="1">
      <c r="A5996" s="187" t="str">
        <f t="shared" si="33"/>
        <v/>
      </c>
      <c r="B5996" s="187" t="str">
        <f t="shared" si="32"/>
        <v/>
      </c>
    </row>
    <row r="5997" spans="1:2" hidden="1">
      <c r="A5997" s="187" t="str">
        <f t="shared" si="33"/>
        <v/>
      </c>
      <c r="B5997" s="187" t="str">
        <f t="shared" si="32"/>
        <v/>
      </c>
    </row>
    <row r="5998" spans="1:2" hidden="1">
      <c r="A5998" s="187" t="str">
        <f t="shared" si="33"/>
        <v/>
      </c>
      <c r="B5998" s="187" t="str">
        <f t="shared" si="32"/>
        <v/>
      </c>
    </row>
    <row r="5999" spans="1:2" hidden="1">
      <c r="A5999" s="187" t="str">
        <f t="shared" si="33"/>
        <v/>
      </c>
      <c r="B5999" s="187" t="str">
        <f t="shared" si="32"/>
        <v/>
      </c>
    </row>
    <row r="6000" spans="1:2" hidden="1">
      <c r="A6000" s="187" t="str">
        <f t="shared" si="33"/>
        <v/>
      </c>
      <c r="B6000" s="187" t="str">
        <f t="shared" si="32"/>
        <v/>
      </c>
    </row>
    <row r="6001" spans="1:2" hidden="1">
      <c r="A6001" s="187" t="str">
        <f t="shared" si="33"/>
        <v/>
      </c>
      <c r="B6001" s="187" t="str">
        <f t="shared" si="32"/>
        <v/>
      </c>
    </row>
    <row r="6002" spans="1:2" hidden="1">
      <c r="A6002" s="187" t="str">
        <f t="shared" si="33"/>
        <v/>
      </c>
      <c r="B6002" s="187" t="str">
        <f t="shared" si="32"/>
        <v/>
      </c>
    </row>
    <row r="6003" spans="1:2" hidden="1">
      <c r="A6003" s="187" t="str">
        <f t="shared" si="33"/>
        <v/>
      </c>
      <c r="B6003" s="187" t="str">
        <f t="shared" si="32"/>
        <v/>
      </c>
    </row>
    <row r="6004" spans="1:2" hidden="1">
      <c r="A6004" s="187" t="str">
        <f t="shared" si="33"/>
        <v/>
      </c>
      <c r="B6004" s="187" t="str">
        <f t="shared" si="32"/>
        <v/>
      </c>
    </row>
    <row r="6005" spans="1:2" hidden="1">
      <c r="A6005" s="187" t="str">
        <f t="shared" si="33"/>
        <v/>
      </c>
      <c r="B6005" s="187" t="str">
        <f t="shared" si="32"/>
        <v/>
      </c>
    </row>
    <row r="6006" spans="1:2" hidden="1">
      <c r="A6006" s="187" t="str">
        <f t="shared" si="33"/>
        <v/>
      </c>
      <c r="B6006" s="187" t="str">
        <f t="shared" si="32"/>
        <v/>
      </c>
    </row>
    <row r="6007" spans="1:2" hidden="1">
      <c r="A6007" s="187" t="str">
        <f t="shared" si="33"/>
        <v/>
      </c>
      <c r="B6007" s="187" t="str">
        <f t="shared" si="32"/>
        <v/>
      </c>
    </row>
    <row r="6008" spans="1:2" hidden="1">
      <c r="A6008" s="187" t="str">
        <f t="shared" si="33"/>
        <v/>
      </c>
      <c r="B6008" s="187" t="str">
        <f t="shared" si="32"/>
        <v/>
      </c>
    </row>
    <row r="6009" spans="1:2" hidden="1">
      <c r="A6009" s="187" t="str">
        <f t="shared" si="33"/>
        <v/>
      </c>
      <c r="B6009" s="187" t="str">
        <f t="shared" si="32"/>
        <v/>
      </c>
    </row>
    <row r="6010" spans="1:2" hidden="1">
      <c r="A6010" s="187" t="str">
        <f t="shared" si="33"/>
        <v/>
      </c>
      <c r="B6010" s="187" t="str">
        <f t="shared" si="32"/>
        <v/>
      </c>
    </row>
    <row r="6011" spans="1:2" hidden="1">
      <c r="A6011" s="187" t="str">
        <f t="shared" si="33"/>
        <v/>
      </c>
      <c r="B6011" s="187" t="str">
        <f t="shared" si="32"/>
        <v/>
      </c>
    </row>
    <row r="6012" spans="1:2" hidden="1">
      <c r="A6012" s="187" t="str">
        <f t="shared" si="33"/>
        <v/>
      </c>
      <c r="B6012" s="187" t="str">
        <f t="shared" si="32"/>
        <v/>
      </c>
    </row>
    <row r="6013" spans="1:2" hidden="1">
      <c r="A6013" s="187" t="str">
        <f t="shared" si="33"/>
        <v/>
      </c>
      <c r="B6013" s="187" t="str">
        <f t="shared" si="32"/>
        <v/>
      </c>
    </row>
    <row r="6014" spans="1:2" hidden="1">
      <c r="A6014" s="187" t="str">
        <f t="shared" si="33"/>
        <v/>
      </c>
      <c r="B6014" s="187" t="str">
        <f t="shared" si="32"/>
        <v/>
      </c>
    </row>
    <row r="6015" spans="1:2" hidden="1">
      <c r="A6015" s="187" t="str">
        <f t="shared" si="33"/>
        <v/>
      </c>
      <c r="B6015" s="187" t="str">
        <f t="shared" si="32"/>
        <v/>
      </c>
    </row>
    <row r="6016" spans="1:2" hidden="1">
      <c r="A6016" s="187" t="str">
        <f t="shared" si="33"/>
        <v/>
      </c>
      <c r="B6016" s="187" t="str">
        <f t="shared" si="32"/>
        <v/>
      </c>
    </row>
    <row r="6017" spans="1:2" hidden="1">
      <c r="A6017" s="187" t="str">
        <f t="shared" si="33"/>
        <v/>
      </c>
      <c r="B6017" s="187" t="str">
        <f t="shared" si="32"/>
        <v/>
      </c>
    </row>
    <row r="6018" spans="1:2" hidden="1">
      <c r="A6018" s="187" t="str">
        <f t="shared" si="33"/>
        <v/>
      </c>
      <c r="B6018" s="187" t="str">
        <f t="shared" si="32"/>
        <v/>
      </c>
    </row>
    <row r="6019" spans="1:2" hidden="1">
      <c r="A6019" s="187" t="str">
        <f t="shared" si="33"/>
        <v/>
      </c>
      <c r="B6019" s="187" t="str">
        <f t="shared" si="32"/>
        <v/>
      </c>
    </row>
    <row r="6020" spans="1:2" hidden="1">
      <c r="A6020" s="187" t="str">
        <f t="shared" si="33"/>
        <v/>
      </c>
      <c r="B6020" s="187" t="str">
        <f t="shared" si="32"/>
        <v/>
      </c>
    </row>
    <row r="6021" spans="1:2" hidden="1">
      <c r="A6021" s="187" t="str">
        <f t="shared" si="33"/>
        <v/>
      </c>
      <c r="B6021" s="187" t="str">
        <f t="shared" si="32"/>
        <v/>
      </c>
    </row>
    <row r="6022" spans="1:2" hidden="1">
      <c r="A6022" s="187" t="str">
        <f t="shared" si="33"/>
        <v/>
      </c>
      <c r="B6022" s="187" t="str">
        <f t="shared" si="32"/>
        <v/>
      </c>
    </row>
    <row r="6023" spans="1:2" hidden="1">
      <c r="A6023" s="187" t="str">
        <f t="shared" si="33"/>
        <v/>
      </c>
      <c r="B6023" s="187" t="str">
        <f t="shared" si="32"/>
        <v/>
      </c>
    </row>
    <row r="6024" spans="1:2" hidden="1">
      <c r="A6024" s="187" t="str">
        <f t="shared" si="33"/>
        <v/>
      </c>
      <c r="B6024" s="187" t="str">
        <f t="shared" si="32"/>
        <v/>
      </c>
    </row>
    <row r="6025" spans="1:2" hidden="1">
      <c r="A6025" s="187" t="str">
        <f t="shared" si="33"/>
        <v/>
      </c>
      <c r="B6025" s="187" t="str">
        <f t="shared" si="32"/>
        <v/>
      </c>
    </row>
    <row r="6026" spans="1:2" hidden="1">
      <c r="A6026" s="187" t="str">
        <f t="shared" si="33"/>
        <v/>
      </c>
      <c r="B6026" s="187" t="str">
        <f t="shared" si="32"/>
        <v/>
      </c>
    </row>
    <row r="6027" spans="1:2" hidden="1">
      <c r="A6027" s="187" t="str">
        <f t="shared" si="33"/>
        <v/>
      </c>
      <c r="B6027" s="187" t="str">
        <f t="shared" si="32"/>
        <v/>
      </c>
    </row>
    <row r="6028" spans="1:2" hidden="1">
      <c r="A6028" s="187" t="str">
        <f t="shared" si="33"/>
        <v/>
      </c>
      <c r="B6028" s="187" t="str">
        <f t="shared" si="32"/>
        <v/>
      </c>
    </row>
    <row r="6029" spans="1:2" hidden="1">
      <c r="A6029" s="187" t="str">
        <f t="shared" si="33"/>
        <v/>
      </c>
      <c r="B6029" s="187" t="str">
        <f t="shared" si="32"/>
        <v/>
      </c>
    </row>
    <row r="6030" spans="1:2" hidden="1">
      <c r="A6030" s="187" t="str">
        <f t="shared" si="33"/>
        <v/>
      </c>
      <c r="B6030" s="187" t="str">
        <f t="shared" si="32"/>
        <v/>
      </c>
    </row>
    <row r="6031" spans="1:2" hidden="1">
      <c r="A6031" s="187" t="str">
        <f t="shared" si="33"/>
        <v/>
      </c>
      <c r="B6031" s="187" t="str">
        <f t="shared" si="32"/>
        <v/>
      </c>
    </row>
    <row r="6032" spans="1:2" hidden="1">
      <c r="A6032" s="187" t="str">
        <f t="shared" si="33"/>
        <v/>
      </c>
      <c r="B6032" s="187" t="str">
        <f t="shared" si="32"/>
        <v/>
      </c>
    </row>
    <row r="6033" spans="1:2" hidden="1">
      <c r="A6033" s="187" t="str">
        <f t="shared" si="33"/>
        <v/>
      </c>
      <c r="B6033" s="187" t="str">
        <f t="shared" si="32"/>
        <v/>
      </c>
    </row>
    <row r="6034" spans="1:2" hidden="1">
      <c r="A6034" s="187" t="str">
        <f t="shared" si="33"/>
        <v/>
      </c>
      <c r="B6034" s="187" t="str">
        <f t="shared" si="32"/>
        <v/>
      </c>
    </row>
    <row r="6035" spans="1:2" hidden="1">
      <c r="A6035" s="187" t="str">
        <f t="shared" si="33"/>
        <v/>
      </c>
      <c r="B6035" s="187" t="str">
        <f t="shared" si="32"/>
        <v/>
      </c>
    </row>
    <row r="6036" spans="1:2" hidden="1">
      <c r="A6036" s="187" t="str">
        <f t="shared" si="33"/>
        <v/>
      </c>
      <c r="B6036" s="187" t="str">
        <f t="shared" si="32"/>
        <v/>
      </c>
    </row>
    <row r="6037" spans="1:2" hidden="1">
      <c r="A6037" s="187" t="str">
        <f t="shared" si="33"/>
        <v/>
      </c>
      <c r="B6037" s="187" t="str">
        <f t="shared" si="32"/>
        <v/>
      </c>
    </row>
    <row r="6038" spans="1:2" hidden="1">
      <c r="A6038" s="187" t="str">
        <f t="shared" si="33"/>
        <v/>
      </c>
      <c r="B6038" s="187" t="str">
        <f t="shared" si="32"/>
        <v/>
      </c>
    </row>
    <row r="6039" spans="1:2" hidden="1">
      <c r="A6039" s="187" t="str">
        <f t="shared" si="33"/>
        <v/>
      </c>
      <c r="B6039" s="187" t="str">
        <f t="shared" si="32"/>
        <v/>
      </c>
    </row>
    <row r="6040" spans="1:2" hidden="1">
      <c r="A6040" s="187" t="str">
        <f t="shared" si="33"/>
        <v/>
      </c>
      <c r="B6040" s="187" t="str">
        <f t="shared" si="32"/>
        <v/>
      </c>
    </row>
    <row r="6041" spans="1:2" hidden="1">
      <c r="A6041" s="187" t="str">
        <f t="shared" si="33"/>
        <v/>
      </c>
      <c r="B6041" s="187" t="str">
        <f t="shared" si="32"/>
        <v/>
      </c>
    </row>
    <row r="6042" spans="1:2" hidden="1">
      <c r="A6042" s="187" t="str">
        <f t="shared" si="33"/>
        <v/>
      </c>
      <c r="B6042" s="187" t="str">
        <f t="shared" si="32"/>
        <v/>
      </c>
    </row>
    <row r="6043" spans="1:2" hidden="1">
      <c r="A6043" s="187" t="str">
        <f t="shared" si="33"/>
        <v/>
      </c>
      <c r="B6043" s="187" t="str">
        <f t="shared" si="32"/>
        <v/>
      </c>
    </row>
    <row r="6044" spans="1:2" hidden="1">
      <c r="A6044" s="187" t="str">
        <f t="shared" si="33"/>
        <v/>
      </c>
      <c r="B6044" s="187" t="str">
        <f t="shared" ref="B6044:B6107" si="34">HYPERLINK("http://tw.stock.yahoo.com/d/s/earning_.html","")</f>
        <v/>
      </c>
    </row>
    <row r="6045" spans="1:2" hidden="1">
      <c r="A6045" s="187" t="str">
        <f t="shared" si="33"/>
        <v/>
      </c>
      <c r="B6045" s="187" t="str">
        <f t="shared" si="34"/>
        <v/>
      </c>
    </row>
    <row r="6046" spans="1:2" hidden="1">
      <c r="A6046" s="187" t="str">
        <f t="shared" si="33"/>
        <v/>
      </c>
      <c r="B6046" s="187" t="str">
        <f t="shared" si="34"/>
        <v/>
      </c>
    </row>
    <row r="6047" spans="1:2" hidden="1">
      <c r="A6047" s="187" t="str">
        <f t="shared" ref="A6047:A6110" si="35">HYPERLINK("http://tw.stock.yahoo.com/q/ta?s=","")</f>
        <v/>
      </c>
      <c r="B6047" s="187" t="str">
        <f t="shared" si="34"/>
        <v/>
      </c>
    </row>
    <row r="6048" spans="1:2" hidden="1">
      <c r="A6048" s="187" t="str">
        <f t="shared" si="35"/>
        <v/>
      </c>
      <c r="B6048" s="187" t="str">
        <f t="shared" si="34"/>
        <v/>
      </c>
    </row>
    <row r="6049" spans="1:2" hidden="1">
      <c r="A6049" s="187" t="str">
        <f t="shared" si="35"/>
        <v/>
      </c>
      <c r="B6049" s="187" t="str">
        <f t="shared" si="34"/>
        <v/>
      </c>
    </row>
    <row r="6050" spans="1:2" hidden="1">
      <c r="A6050" s="187" t="str">
        <f t="shared" si="35"/>
        <v/>
      </c>
      <c r="B6050" s="187" t="str">
        <f t="shared" si="34"/>
        <v/>
      </c>
    </row>
    <row r="6051" spans="1:2" hidden="1">
      <c r="A6051" s="187" t="str">
        <f t="shared" si="35"/>
        <v/>
      </c>
      <c r="B6051" s="187" t="str">
        <f t="shared" si="34"/>
        <v/>
      </c>
    </row>
    <row r="6052" spans="1:2" hidden="1">
      <c r="A6052" s="187" t="str">
        <f t="shared" si="35"/>
        <v/>
      </c>
      <c r="B6052" s="187" t="str">
        <f t="shared" si="34"/>
        <v/>
      </c>
    </row>
    <row r="6053" spans="1:2" hidden="1">
      <c r="A6053" s="187" t="str">
        <f t="shared" si="35"/>
        <v/>
      </c>
      <c r="B6053" s="187" t="str">
        <f t="shared" si="34"/>
        <v/>
      </c>
    </row>
    <row r="6054" spans="1:2" hidden="1">
      <c r="A6054" s="187" t="str">
        <f t="shared" si="35"/>
        <v/>
      </c>
      <c r="B6054" s="187" t="str">
        <f t="shared" si="34"/>
        <v/>
      </c>
    </row>
    <row r="6055" spans="1:2" hidden="1">
      <c r="A6055" s="187" t="str">
        <f t="shared" si="35"/>
        <v/>
      </c>
      <c r="B6055" s="187" t="str">
        <f t="shared" si="34"/>
        <v/>
      </c>
    </row>
    <row r="6056" spans="1:2" hidden="1">
      <c r="A6056" s="187" t="str">
        <f t="shared" si="35"/>
        <v/>
      </c>
      <c r="B6056" s="187" t="str">
        <f t="shared" si="34"/>
        <v/>
      </c>
    </row>
    <row r="6057" spans="1:2" hidden="1">
      <c r="A6057" s="187" t="str">
        <f t="shared" si="35"/>
        <v/>
      </c>
      <c r="B6057" s="187" t="str">
        <f t="shared" si="34"/>
        <v/>
      </c>
    </row>
    <row r="6058" spans="1:2" hidden="1">
      <c r="A6058" s="187" t="str">
        <f t="shared" si="35"/>
        <v/>
      </c>
      <c r="B6058" s="187" t="str">
        <f t="shared" si="34"/>
        <v/>
      </c>
    </row>
    <row r="6059" spans="1:2" hidden="1">
      <c r="A6059" s="187" t="str">
        <f t="shared" si="35"/>
        <v/>
      </c>
      <c r="B6059" s="187" t="str">
        <f t="shared" si="34"/>
        <v/>
      </c>
    </row>
    <row r="6060" spans="1:2" hidden="1">
      <c r="A6060" s="187" t="str">
        <f t="shared" si="35"/>
        <v/>
      </c>
      <c r="B6060" s="187" t="str">
        <f t="shared" si="34"/>
        <v/>
      </c>
    </row>
    <row r="6061" spans="1:2" hidden="1">
      <c r="A6061" s="187" t="str">
        <f t="shared" si="35"/>
        <v/>
      </c>
      <c r="B6061" s="187" t="str">
        <f t="shared" si="34"/>
        <v/>
      </c>
    </row>
    <row r="6062" spans="1:2" hidden="1">
      <c r="A6062" s="187" t="str">
        <f t="shared" si="35"/>
        <v/>
      </c>
      <c r="B6062" s="187" t="str">
        <f t="shared" si="34"/>
        <v/>
      </c>
    </row>
    <row r="6063" spans="1:2" hidden="1">
      <c r="A6063" s="187" t="str">
        <f t="shared" si="35"/>
        <v/>
      </c>
      <c r="B6063" s="187" t="str">
        <f t="shared" si="34"/>
        <v/>
      </c>
    </row>
    <row r="6064" spans="1:2" hidden="1">
      <c r="A6064" s="187" t="str">
        <f t="shared" si="35"/>
        <v/>
      </c>
      <c r="B6064" s="187" t="str">
        <f t="shared" si="34"/>
        <v/>
      </c>
    </row>
    <row r="6065" spans="1:2" hidden="1">
      <c r="A6065" s="187" t="str">
        <f t="shared" si="35"/>
        <v/>
      </c>
      <c r="B6065" s="187" t="str">
        <f t="shared" si="34"/>
        <v/>
      </c>
    </row>
    <row r="6066" spans="1:2" hidden="1">
      <c r="A6066" s="187" t="str">
        <f t="shared" si="35"/>
        <v/>
      </c>
      <c r="B6066" s="187" t="str">
        <f t="shared" si="34"/>
        <v/>
      </c>
    </row>
    <row r="6067" spans="1:2" hidden="1">
      <c r="A6067" s="187" t="str">
        <f t="shared" si="35"/>
        <v/>
      </c>
      <c r="B6067" s="187" t="str">
        <f t="shared" si="34"/>
        <v/>
      </c>
    </row>
    <row r="6068" spans="1:2" hidden="1">
      <c r="A6068" s="187" t="str">
        <f t="shared" si="35"/>
        <v/>
      </c>
      <c r="B6068" s="187" t="str">
        <f t="shared" si="34"/>
        <v/>
      </c>
    </row>
    <row r="6069" spans="1:2" hidden="1">
      <c r="A6069" s="187" t="str">
        <f t="shared" si="35"/>
        <v/>
      </c>
      <c r="B6069" s="187" t="str">
        <f t="shared" si="34"/>
        <v/>
      </c>
    </row>
    <row r="6070" spans="1:2" hidden="1">
      <c r="A6070" s="187" t="str">
        <f t="shared" si="35"/>
        <v/>
      </c>
      <c r="B6070" s="187" t="str">
        <f t="shared" si="34"/>
        <v/>
      </c>
    </row>
    <row r="6071" spans="1:2" hidden="1">
      <c r="A6071" s="187" t="str">
        <f t="shared" si="35"/>
        <v/>
      </c>
      <c r="B6071" s="187" t="str">
        <f t="shared" si="34"/>
        <v/>
      </c>
    </row>
    <row r="6072" spans="1:2" hidden="1">
      <c r="A6072" s="187" t="str">
        <f t="shared" si="35"/>
        <v/>
      </c>
      <c r="B6072" s="187" t="str">
        <f t="shared" si="34"/>
        <v/>
      </c>
    </row>
    <row r="6073" spans="1:2" hidden="1">
      <c r="A6073" s="187" t="str">
        <f t="shared" si="35"/>
        <v/>
      </c>
      <c r="B6073" s="187" t="str">
        <f t="shared" si="34"/>
        <v/>
      </c>
    </row>
    <row r="6074" spans="1:2" hidden="1">
      <c r="A6074" s="187" t="str">
        <f t="shared" si="35"/>
        <v/>
      </c>
      <c r="B6074" s="187" t="str">
        <f t="shared" si="34"/>
        <v/>
      </c>
    </row>
    <row r="6075" spans="1:2" hidden="1">
      <c r="A6075" s="187" t="str">
        <f t="shared" si="35"/>
        <v/>
      </c>
      <c r="B6075" s="187" t="str">
        <f t="shared" si="34"/>
        <v/>
      </c>
    </row>
    <row r="6076" spans="1:2" hidden="1">
      <c r="A6076" s="187" t="str">
        <f t="shared" si="35"/>
        <v/>
      </c>
      <c r="B6076" s="187" t="str">
        <f t="shared" si="34"/>
        <v/>
      </c>
    </row>
    <row r="6077" spans="1:2" hidden="1">
      <c r="A6077" s="187" t="str">
        <f t="shared" si="35"/>
        <v/>
      </c>
      <c r="B6077" s="187" t="str">
        <f t="shared" si="34"/>
        <v/>
      </c>
    </row>
    <row r="6078" spans="1:2" hidden="1">
      <c r="A6078" s="187" t="str">
        <f t="shared" si="35"/>
        <v/>
      </c>
      <c r="B6078" s="187" t="str">
        <f t="shared" si="34"/>
        <v/>
      </c>
    </row>
    <row r="6079" spans="1:2" hidden="1">
      <c r="A6079" s="187" t="str">
        <f t="shared" si="35"/>
        <v/>
      </c>
      <c r="B6079" s="187" t="str">
        <f t="shared" si="34"/>
        <v/>
      </c>
    </row>
    <row r="6080" spans="1:2" hidden="1">
      <c r="A6080" s="187" t="str">
        <f t="shared" si="35"/>
        <v/>
      </c>
      <c r="B6080" s="187" t="str">
        <f t="shared" si="34"/>
        <v/>
      </c>
    </row>
    <row r="6081" spans="1:2" hidden="1">
      <c r="A6081" s="187" t="str">
        <f t="shared" si="35"/>
        <v/>
      </c>
      <c r="B6081" s="187" t="str">
        <f t="shared" si="34"/>
        <v/>
      </c>
    </row>
    <row r="6082" spans="1:2" hidden="1">
      <c r="A6082" s="187" t="str">
        <f t="shared" si="35"/>
        <v/>
      </c>
      <c r="B6082" s="187" t="str">
        <f t="shared" si="34"/>
        <v/>
      </c>
    </row>
    <row r="6083" spans="1:2" hidden="1">
      <c r="A6083" s="187" t="str">
        <f t="shared" si="35"/>
        <v/>
      </c>
      <c r="B6083" s="187" t="str">
        <f t="shared" si="34"/>
        <v/>
      </c>
    </row>
    <row r="6084" spans="1:2" hidden="1">
      <c r="A6084" s="187" t="str">
        <f t="shared" si="35"/>
        <v/>
      </c>
      <c r="B6084" s="187" t="str">
        <f t="shared" si="34"/>
        <v/>
      </c>
    </row>
    <row r="6085" spans="1:2" hidden="1">
      <c r="A6085" s="187" t="str">
        <f t="shared" si="35"/>
        <v/>
      </c>
      <c r="B6085" s="187" t="str">
        <f t="shared" si="34"/>
        <v/>
      </c>
    </row>
    <row r="6086" spans="1:2" hidden="1">
      <c r="A6086" s="187" t="str">
        <f t="shared" si="35"/>
        <v/>
      </c>
      <c r="B6086" s="187" t="str">
        <f t="shared" si="34"/>
        <v/>
      </c>
    </row>
    <row r="6087" spans="1:2" hidden="1">
      <c r="A6087" s="187" t="str">
        <f t="shared" si="35"/>
        <v/>
      </c>
      <c r="B6087" s="187" t="str">
        <f t="shared" si="34"/>
        <v/>
      </c>
    </row>
    <row r="6088" spans="1:2" hidden="1">
      <c r="A6088" s="187" t="str">
        <f t="shared" si="35"/>
        <v/>
      </c>
      <c r="B6088" s="187" t="str">
        <f t="shared" si="34"/>
        <v/>
      </c>
    </row>
    <row r="6089" spans="1:2" hidden="1">
      <c r="A6089" s="187" t="str">
        <f t="shared" si="35"/>
        <v/>
      </c>
      <c r="B6089" s="187" t="str">
        <f t="shared" si="34"/>
        <v/>
      </c>
    </row>
    <row r="6090" spans="1:2" hidden="1">
      <c r="A6090" s="187" t="str">
        <f t="shared" si="35"/>
        <v/>
      </c>
      <c r="B6090" s="187" t="str">
        <f t="shared" si="34"/>
        <v/>
      </c>
    </row>
    <row r="6091" spans="1:2" hidden="1">
      <c r="A6091" s="187" t="str">
        <f t="shared" si="35"/>
        <v/>
      </c>
      <c r="B6091" s="187" t="str">
        <f t="shared" si="34"/>
        <v/>
      </c>
    </row>
    <row r="6092" spans="1:2" hidden="1">
      <c r="A6092" s="187" t="str">
        <f t="shared" si="35"/>
        <v/>
      </c>
      <c r="B6092" s="187" t="str">
        <f t="shared" si="34"/>
        <v/>
      </c>
    </row>
    <row r="6093" spans="1:2" hidden="1">
      <c r="A6093" s="187" t="str">
        <f t="shared" si="35"/>
        <v/>
      </c>
      <c r="B6093" s="187" t="str">
        <f t="shared" si="34"/>
        <v/>
      </c>
    </row>
    <row r="6094" spans="1:2" hidden="1">
      <c r="A6094" s="187" t="str">
        <f t="shared" si="35"/>
        <v/>
      </c>
      <c r="B6094" s="187" t="str">
        <f t="shared" si="34"/>
        <v/>
      </c>
    </row>
    <row r="6095" spans="1:2" hidden="1">
      <c r="A6095" s="187" t="str">
        <f t="shared" si="35"/>
        <v/>
      </c>
      <c r="B6095" s="187" t="str">
        <f t="shared" si="34"/>
        <v/>
      </c>
    </row>
    <row r="6096" spans="1:2" hidden="1">
      <c r="A6096" s="187" t="str">
        <f t="shared" si="35"/>
        <v/>
      </c>
      <c r="B6096" s="187" t="str">
        <f t="shared" si="34"/>
        <v/>
      </c>
    </row>
    <row r="6097" spans="1:2" hidden="1">
      <c r="A6097" s="187" t="str">
        <f t="shared" si="35"/>
        <v/>
      </c>
      <c r="B6097" s="187" t="str">
        <f t="shared" si="34"/>
        <v/>
      </c>
    </row>
    <row r="6098" spans="1:2" hidden="1">
      <c r="A6098" s="187" t="str">
        <f t="shared" si="35"/>
        <v/>
      </c>
      <c r="B6098" s="187" t="str">
        <f t="shared" si="34"/>
        <v/>
      </c>
    </row>
    <row r="6099" spans="1:2" hidden="1">
      <c r="A6099" s="187" t="str">
        <f t="shared" si="35"/>
        <v/>
      </c>
      <c r="B6099" s="187" t="str">
        <f t="shared" si="34"/>
        <v/>
      </c>
    </row>
    <row r="6100" spans="1:2" hidden="1">
      <c r="A6100" s="187" t="str">
        <f t="shared" si="35"/>
        <v/>
      </c>
      <c r="B6100" s="187" t="str">
        <f t="shared" si="34"/>
        <v/>
      </c>
    </row>
    <row r="6101" spans="1:2" hidden="1">
      <c r="A6101" s="187" t="str">
        <f t="shared" si="35"/>
        <v/>
      </c>
      <c r="B6101" s="187" t="str">
        <f t="shared" si="34"/>
        <v/>
      </c>
    </row>
    <row r="6102" spans="1:2" hidden="1">
      <c r="A6102" s="187" t="str">
        <f t="shared" si="35"/>
        <v/>
      </c>
      <c r="B6102" s="187" t="str">
        <f t="shared" si="34"/>
        <v/>
      </c>
    </row>
    <row r="6103" spans="1:2" hidden="1">
      <c r="A6103" s="187" t="str">
        <f t="shared" si="35"/>
        <v/>
      </c>
      <c r="B6103" s="187" t="str">
        <f t="shared" si="34"/>
        <v/>
      </c>
    </row>
    <row r="6104" spans="1:2" hidden="1">
      <c r="A6104" s="187" t="str">
        <f t="shared" si="35"/>
        <v/>
      </c>
      <c r="B6104" s="187" t="str">
        <f t="shared" si="34"/>
        <v/>
      </c>
    </row>
    <row r="6105" spans="1:2" hidden="1">
      <c r="A6105" s="187" t="str">
        <f t="shared" si="35"/>
        <v/>
      </c>
      <c r="B6105" s="187" t="str">
        <f t="shared" si="34"/>
        <v/>
      </c>
    </row>
    <row r="6106" spans="1:2" hidden="1">
      <c r="A6106" s="187" t="str">
        <f t="shared" si="35"/>
        <v/>
      </c>
      <c r="B6106" s="187" t="str">
        <f t="shared" si="34"/>
        <v/>
      </c>
    </row>
    <row r="6107" spans="1:2" hidden="1">
      <c r="A6107" s="187" t="str">
        <f t="shared" si="35"/>
        <v/>
      </c>
      <c r="B6107" s="187" t="str">
        <f t="shared" si="34"/>
        <v/>
      </c>
    </row>
    <row r="6108" spans="1:2" hidden="1">
      <c r="A6108" s="187" t="str">
        <f t="shared" si="35"/>
        <v/>
      </c>
      <c r="B6108" s="187" t="str">
        <f t="shared" ref="B6108:B6171" si="36">HYPERLINK("http://tw.stock.yahoo.com/d/s/earning_.html","")</f>
        <v/>
      </c>
    </row>
    <row r="6109" spans="1:2" hidden="1">
      <c r="A6109" s="187" t="str">
        <f t="shared" si="35"/>
        <v/>
      </c>
      <c r="B6109" s="187" t="str">
        <f t="shared" si="36"/>
        <v/>
      </c>
    </row>
    <row r="6110" spans="1:2" hidden="1">
      <c r="A6110" s="187" t="str">
        <f t="shared" si="35"/>
        <v/>
      </c>
      <c r="B6110" s="187" t="str">
        <f t="shared" si="36"/>
        <v/>
      </c>
    </row>
    <row r="6111" spans="1:2" hidden="1">
      <c r="A6111" s="187" t="str">
        <f t="shared" ref="A6111:A6174" si="37">HYPERLINK("http://tw.stock.yahoo.com/q/ta?s=","")</f>
        <v/>
      </c>
      <c r="B6111" s="187" t="str">
        <f t="shared" si="36"/>
        <v/>
      </c>
    </row>
    <row r="6112" spans="1:2" hidden="1">
      <c r="A6112" s="187" t="str">
        <f t="shared" si="37"/>
        <v/>
      </c>
      <c r="B6112" s="187" t="str">
        <f t="shared" si="36"/>
        <v/>
      </c>
    </row>
    <row r="6113" spans="1:2" hidden="1">
      <c r="A6113" s="187" t="str">
        <f t="shared" si="37"/>
        <v/>
      </c>
      <c r="B6113" s="187" t="str">
        <f t="shared" si="36"/>
        <v/>
      </c>
    </row>
    <row r="6114" spans="1:2" hidden="1">
      <c r="A6114" s="187" t="str">
        <f t="shared" si="37"/>
        <v/>
      </c>
      <c r="B6114" s="187" t="str">
        <f t="shared" si="36"/>
        <v/>
      </c>
    </row>
    <row r="6115" spans="1:2" hidden="1">
      <c r="A6115" s="187" t="str">
        <f t="shared" si="37"/>
        <v/>
      </c>
      <c r="B6115" s="187" t="str">
        <f t="shared" si="36"/>
        <v/>
      </c>
    </row>
    <row r="6116" spans="1:2" hidden="1">
      <c r="A6116" s="187" t="str">
        <f t="shared" si="37"/>
        <v/>
      </c>
      <c r="B6116" s="187" t="str">
        <f t="shared" si="36"/>
        <v/>
      </c>
    </row>
    <row r="6117" spans="1:2" hidden="1">
      <c r="A6117" s="187" t="str">
        <f t="shared" si="37"/>
        <v/>
      </c>
      <c r="B6117" s="187" t="str">
        <f t="shared" si="36"/>
        <v/>
      </c>
    </row>
    <row r="6118" spans="1:2" hidden="1">
      <c r="A6118" s="187" t="str">
        <f t="shared" si="37"/>
        <v/>
      </c>
      <c r="B6118" s="187" t="str">
        <f t="shared" si="36"/>
        <v/>
      </c>
    </row>
    <row r="6119" spans="1:2" hidden="1">
      <c r="A6119" s="187" t="str">
        <f t="shared" si="37"/>
        <v/>
      </c>
      <c r="B6119" s="187" t="str">
        <f t="shared" si="36"/>
        <v/>
      </c>
    </row>
    <row r="6120" spans="1:2" hidden="1">
      <c r="A6120" s="187" t="str">
        <f t="shared" si="37"/>
        <v/>
      </c>
      <c r="B6120" s="187" t="str">
        <f t="shared" si="36"/>
        <v/>
      </c>
    </row>
    <row r="6121" spans="1:2" hidden="1">
      <c r="A6121" s="187" t="str">
        <f t="shared" si="37"/>
        <v/>
      </c>
      <c r="B6121" s="187" t="str">
        <f t="shared" si="36"/>
        <v/>
      </c>
    </row>
    <row r="6122" spans="1:2" hidden="1">
      <c r="A6122" s="187" t="str">
        <f t="shared" si="37"/>
        <v/>
      </c>
      <c r="B6122" s="187" t="str">
        <f t="shared" si="36"/>
        <v/>
      </c>
    </row>
    <row r="6123" spans="1:2" hidden="1">
      <c r="A6123" s="187" t="str">
        <f t="shared" si="37"/>
        <v/>
      </c>
      <c r="B6123" s="187" t="str">
        <f t="shared" si="36"/>
        <v/>
      </c>
    </row>
    <row r="6124" spans="1:2" hidden="1">
      <c r="A6124" s="187" t="str">
        <f t="shared" si="37"/>
        <v/>
      </c>
      <c r="B6124" s="187" t="str">
        <f t="shared" si="36"/>
        <v/>
      </c>
    </row>
    <row r="6125" spans="1:2" hidden="1">
      <c r="A6125" s="187" t="str">
        <f t="shared" si="37"/>
        <v/>
      </c>
      <c r="B6125" s="187" t="str">
        <f t="shared" si="36"/>
        <v/>
      </c>
    </row>
    <row r="6126" spans="1:2" hidden="1">
      <c r="A6126" s="187" t="str">
        <f t="shared" si="37"/>
        <v/>
      </c>
      <c r="B6126" s="187" t="str">
        <f t="shared" si="36"/>
        <v/>
      </c>
    </row>
    <row r="6127" spans="1:2" hidden="1">
      <c r="A6127" s="187" t="str">
        <f t="shared" si="37"/>
        <v/>
      </c>
      <c r="B6127" s="187" t="str">
        <f t="shared" si="36"/>
        <v/>
      </c>
    </row>
    <row r="6128" spans="1:2" hidden="1">
      <c r="A6128" s="187" t="str">
        <f t="shared" si="37"/>
        <v/>
      </c>
      <c r="B6128" s="187" t="str">
        <f t="shared" si="36"/>
        <v/>
      </c>
    </row>
    <row r="6129" spans="1:2" hidden="1">
      <c r="A6129" s="187" t="str">
        <f t="shared" si="37"/>
        <v/>
      </c>
      <c r="B6129" s="187" t="str">
        <f t="shared" si="36"/>
        <v/>
      </c>
    </row>
    <row r="6130" spans="1:2" hidden="1">
      <c r="A6130" s="187" t="str">
        <f t="shared" si="37"/>
        <v/>
      </c>
      <c r="B6130" s="187" t="str">
        <f t="shared" si="36"/>
        <v/>
      </c>
    </row>
    <row r="6131" spans="1:2" hidden="1">
      <c r="A6131" s="187" t="str">
        <f t="shared" si="37"/>
        <v/>
      </c>
      <c r="B6131" s="187" t="str">
        <f t="shared" si="36"/>
        <v/>
      </c>
    </row>
    <row r="6132" spans="1:2" hidden="1">
      <c r="A6132" s="187" t="str">
        <f t="shared" si="37"/>
        <v/>
      </c>
      <c r="B6132" s="187" t="str">
        <f t="shared" si="36"/>
        <v/>
      </c>
    </row>
    <row r="6133" spans="1:2" hidden="1">
      <c r="A6133" s="187" t="str">
        <f t="shared" si="37"/>
        <v/>
      </c>
      <c r="B6133" s="187" t="str">
        <f t="shared" si="36"/>
        <v/>
      </c>
    </row>
    <row r="6134" spans="1:2" hidden="1">
      <c r="A6134" s="187" t="str">
        <f t="shared" si="37"/>
        <v/>
      </c>
      <c r="B6134" s="187" t="str">
        <f t="shared" si="36"/>
        <v/>
      </c>
    </row>
    <row r="6135" spans="1:2" hidden="1">
      <c r="A6135" s="187" t="str">
        <f t="shared" si="37"/>
        <v/>
      </c>
      <c r="B6135" s="187" t="str">
        <f t="shared" si="36"/>
        <v/>
      </c>
    </row>
    <row r="6136" spans="1:2" hidden="1">
      <c r="A6136" s="187" t="str">
        <f t="shared" si="37"/>
        <v/>
      </c>
      <c r="B6136" s="187" t="str">
        <f t="shared" si="36"/>
        <v/>
      </c>
    </row>
    <row r="6137" spans="1:2" hidden="1">
      <c r="A6137" s="187" t="str">
        <f t="shared" si="37"/>
        <v/>
      </c>
      <c r="B6137" s="187" t="str">
        <f t="shared" si="36"/>
        <v/>
      </c>
    </row>
    <row r="6138" spans="1:2" hidden="1">
      <c r="A6138" s="187" t="str">
        <f t="shared" si="37"/>
        <v/>
      </c>
      <c r="B6138" s="187" t="str">
        <f t="shared" si="36"/>
        <v/>
      </c>
    </row>
    <row r="6139" spans="1:2" hidden="1">
      <c r="A6139" s="187" t="str">
        <f t="shared" si="37"/>
        <v/>
      </c>
      <c r="B6139" s="187" t="str">
        <f t="shared" si="36"/>
        <v/>
      </c>
    </row>
    <row r="6140" spans="1:2" hidden="1">
      <c r="A6140" s="187" t="str">
        <f t="shared" si="37"/>
        <v/>
      </c>
      <c r="B6140" s="187" t="str">
        <f t="shared" si="36"/>
        <v/>
      </c>
    </row>
    <row r="6141" spans="1:2" hidden="1">
      <c r="A6141" s="187" t="str">
        <f t="shared" si="37"/>
        <v/>
      </c>
      <c r="B6141" s="187" t="str">
        <f t="shared" si="36"/>
        <v/>
      </c>
    </row>
    <row r="6142" spans="1:2" hidden="1">
      <c r="A6142" s="187" t="str">
        <f t="shared" si="37"/>
        <v/>
      </c>
      <c r="B6142" s="187" t="str">
        <f t="shared" si="36"/>
        <v/>
      </c>
    </row>
    <row r="6143" spans="1:2" hidden="1">
      <c r="A6143" s="187" t="str">
        <f t="shared" si="37"/>
        <v/>
      </c>
      <c r="B6143" s="187" t="str">
        <f t="shared" si="36"/>
        <v/>
      </c>
    </row>
    <row r="6144" spans="1:2" hidden="1">
      <c r="A6144" s="187" t="str">
        <f t="shared" si="37"/>
        <v/>
      </c>
      <c r="B6144" s="187" t="str">
        <f t="shared" si="36"/>
        <v/>
      </c>
    </row>
    <row r="6145" spans="1:2" hidden="1">
      <c r="A6145" s="187" t="str">
        <f t="shared" si="37"/>
        <v/>
      </c>
      <c r="B6145" s="187" t="str">
        <f t="shared" si="36"/>
        <v/>
      </c>
    </row>
    <row r="6146" spans="1:2" hidden="1">
      <c r="A6146" s="187" t="str">
        <f t="shared" si="37"/>
        <v/>
      </c>
      <c r="B6146" s="187" t="str">
        <f t="shared" si="36"/>
        <v/>
      </c>
    </row>
    <row r="6147" spans="1:2" hidden="1">
      <c r="A6147" s="187" t="str">
        <f t="shared" si="37"/>
        <v/>
      </c>
      <c r="B6147" s="187" t="str">
        <f t="shared" si="36"/>
        <v/>
      </c>
    </row>
    <row r="6148" spans="1:2" hidden="1">
      <c r="A6148" s="187" t="str">
        <f t="shared" si="37"/>
        <v/>
      </c>
      <c r="B6148" s="187" t="str">
        <f t="shared" si="36"/>
        <v/>
      </c>
    </row>
    <row r="6149" spans="1:2" hidden="1">
      <c r="A6149" s="187" t="str">
        <f t="shared" si="37"/>
        <v/>
      </c>
      <c r="B6149" s="187" t="str">
        <f t="shared" si="36"/>
        <v/>
      </c>
    </row>
    <row r="6150" spans="1:2" hidden="1">
      <c r="A6150" s="187" t="str">
        <f t="shared" si="37"/>
        <v/>
      </c>
      <c r="B6150" s="187" t="str">
        <f t="shared" si="36"/>
        <v/>
      </c>
    </row>
    <row r="6151" spans="1:2" hidden="1">
      <c r="A6151" s="187" t="str">
        <f t="shared" si="37"/>
        <v/>
      </c>
      <c r="B6151" s="187" t="str">
        <f t="shared" si="36"/>
        <v/>
      </c>
    </row>
    <row r="6152" spans="1:2" hidden="1">
      <c r="A6152" s="187" t="str">
        <f t="shared" si="37"/>
        <v/>
      </c>
      <c r="B6152" s="187" t="str">
        <f t="shared" si="36"/>
        <v/>
      </c>
    </row>
    <row r="6153" spans="1:2" hidden="1">
      <c r="A6153" s="187" t="str">
        <f t="shared" si="37"/>
        <v/>
      </c>
      <c r="B6153" s="187" t="str">
        <f t="shared" si="36"/>
        <v/>
      </c>
    </row>
    <row r="6154" spans="1:2" hidden="1">
      <c r="A6154" s="187" t="str">
        <f t="shared" si="37"/>
        <v/>
      </c>
      <c r="B6154" s="187" t="str">
        <f t="shared" si="36"/>
        <v/>
      </c>
    </row>
    <row r="6155" spans="1:2" hidden="1">
      <c r="A6155" s="187" t="str">
        <f t="shared" si="37"/>
        <v/>
      </c>
      <c r="B6155" s="187" t="str">
        <f t="shared" si="36"/>
        <v/>
      </c>
    </row>
    <row r="6156" spans="1:2" hidden="1">
      <c r="A6156" s="187" t="str">
        <f t="shared" si="37"/>
        <v/>
      </c>
      <c r="B6156" s="187" t="str">
        <f t="shared" si="36"/>
        <v/>
      </c>
    </row>
    <row r="6157" spans="1:2" hidden="1">
      <c r="A6157" s="187" t="str">
        <f t="shared" si="37"/>
        <v/>
      </c>
      <c r="B6157" s="187" t="str">
        <f t="shared" si="36"/>
        <v/>
      </c>
    </row>
    <row r="6158" spans="1:2" hidden="1">
      <c r="A6158" s="187" t="str">
        <f t="shared" si="37"/>
        <v/>
      </c>
      <c r="B6158" s="187" t="str">
        <f t="shared" si="36"/>
        <v/>
      </c>
    </row>
    <row r="6159" spans="1:2" hidden="1">
      <c r="A6159" s="187" t="str">
        <f t="shared" si="37"/>
        <v/>
      </c>
      <c r="B6159" s="187" t="str">
        <f t="shared" si="36"/>
        <v/>
      </c>
    </row>
    <row r="6160" spans="1:2" hidden="1">
      <c r="A6160" s="187" t="str">
        <f t="shared" si="37"/>
        <v/>
      </c>
      <c r="B6160" s="187" t="str">
        <f t="shared" si="36"/>
        <v/>
      </c>
    </row>
    <row r="6161" spans="1:2" hidden="1">
      <c r="A6161" s="187" t="str">
        <f t="shared" si="37"/>
        <v/>
      </c>
      <c r="B6161" s="187" t="str">
        <f t="shared" si="36"/>
        <v/>
      </c>
    </row>
    <row r="6162" spans="1:2" hidden="1">
      <c r="A6162" s="187" t="str">
        <f t="shared" si="37"/>
        <v/>
      </c>
      <c r="B6162" s="187" t="str">
        <f t="shared" si="36"/>
        <v/>
      </c>
    </row>
    <row r="6163" spans="1:2" hidden="1">
      <c r="A6163" s="187" t="str">
        <f t="shared" si="37"/>
        <v/>
      </c>
      <c r="B6163" s="187" t="str">
        <f t="shared" si="36"/>
        <v/>
      </c>
    </row>
    <row r="6164" spans="1:2" hidden="1">
      <c r="A6164" s="187" t="str">
        <f t="shared" si="37"/>
        <v/>
      </c>
      <c r="B6164" s="187" t="str">
        <f t="shared" si="36"/>
        <v/>
      </c>
    </row>
    <row r="6165" spans="1:2" hidden="1">
      <c r="A6165" s="187" t="str">
        <f t="shared" si="37"/>
        <v/>
      </c>
      <c r="B6165" s="187" t="str">
        <f t="shared" si="36"/>
        <v/>
      </c>
    </row>
    <row r="6166" spans="1:2" hidden="1">
      <c r="A6166" s="187" t="str">
        <f t="shared" si="37"/>
        <v/>
      </c>
      <c r="B6166" s="187" t="str">
        <f t="shared" si="36"/>
        <v/>
      </c>
    </row>
    <row r="6167" spans="1:2" hidden="1">
      <c r="A6167" s="187" t="str">
        <f t="shared" si="37"/>
        <v/>
      </c>
      <c r="B6167" s="187" t="str">
        <f t="shared" si="36"/>
        <v/>
      </c>
    </row>
    <row r="6168" spans="1:2" hidden="1">
      <c r="A6168" s="187" t="str">
        <f t="shared" si="37"/>
        <v/>
      </c>
      <c r="B6168" s="187" t="str">
        <f t="shared" si="36"/>
        <v/>
      </c>
    </row>
    <row r="6169" spans="1:2" hidden="1">
      <c r="A6169" s="187" t="str">
        <f t="shared" si="37"/>
        <v/>
      </c>
      <c r="B6169" s="187" t="str">
        <f t="shared" si="36"/>
        <v/>
      </c>
    </row>
    <row r="6170" spans="1:2" hidden="1">
      <c r="A6170" s="187" t="str">
        <f t="shared" si="37"/>
        <v/>
      </c>
      <c r="B6170" s="187" t="str">
        <f t="shared" si="36"/>
        <v/>
      </c>
    </row>
    <row r="6171" spans="1:2" hidden="1">
      <c r="A6171" s="187" t="str">
        <f t="shared" si="37"/>
        <v/>
      </c>
      <c r="B6171" s="187" t="str">
        <f t="shared" si="36"/>
        <v/>
      </c>
    </row>
    <row r="6172" spans="1:2" hidden="1">
      <c r="A6172" s="187" t="str">
        <f t="shared" si="37"/>
        <v/>
      </c>
      <c r="B6172" s="187" t="str">
        <f t="shared" ref="B6172:B6235" si="38">HYPERLINK("http://tw.stock.yahoo.com/d/s/earning_.html","")</f>
        <v/>
      </c>
    </row>
    <row r="6173" spans="1:2" hidden="1">
      <c r="A6173" s="187" t="str">
        <f t="shared" si="37"/>
        <v/>
      </c>
      <c r="B6173" s="187" t="str">
        <f t="shared" si="38"/>
        <v/>
      </c>
    </row>
    <row r="6174" spans="1:2" hidden="1">
      <c r="A6174" s="187" t="str">
        <f t="shared" si="37"/>
        <v/>
      </c>
      <c r="B6174" s="187" t="str">
        <f t="shared" si="38"/>
        <v/>
      </c>
    </row>
    <row r="6175" spans="1:2" hidden="1">
      <c r="A6175" s="187" t="str">
        <f t="shared" ref="A6175:A6238" si="39">HYPERLINK("http://tw.stock.yahoo.com/q/ta?s=","")</f>
        <v/>
      </c>
      <c r="B6175" s="187" t="str">
        <f t="shared" si="38"/>
        <v/>
      </c>
    </row>
    <row r="6176" spans="1:2" hidden="1">
      <c r="A6176" s="187" t="str">
        <f t="shared" si="39"/>
        <v/>
      </c>
      <c r="B6176" s="187" t="str">
        <f t="shared" si="38"/>
        <v/>
      </c>
    </row>
    <row r="6177" spans="1:2" hidden="1">
      <c r="A6177" s="187" t="str">
        <f t="shared" si="39"/>
        <v/>
      </c>
      <c r="B6177" s="187" t="str">
        <f t="shared" si="38"/>
        <v/>
      </c>
    </row>
    <row r="6178" spans="1:2" hidden="1">
      <c r="A6178" s="187" t="str">
        <f t="shared" si="39"/>
        <v/>
      </c>
      <c r="B6178" s="187" t="str">
        <f t="shared" si="38"/>
        <v/>
      </c>
    </row>
    <row r="6179" spans="1:2" hidden="1">
      <c r="A6179" s="187" t="str">
        <f t="shared" si="39"/>
        <v/>
      </c>
      <c r="B6179" s="187" t="str">
        <f t="shared" si="38"/>
        <v/>
      </c>
    </row>
    <row r="6180" spans="1:2" hidden="1">
      <c r="A6180" s="187" t="str">
        <f t="shared" si="39"/>
        <v/>
      </c>
      <c r="B6180" s="187" t="str">
        <f t="shared" si="38"/>
        <v/>
      </c>
    </row>
    <row r="6181" spans="1:2" hidden="1">
      <c r="A6181" s="187" t="str">
        <f t="shared" si="39"/>
        <v/>
      </c>
      <c r="B6181" s="187" t="str">
        <f t="shared" si="38"/>
        <v/>
      </c>
    </row>
    <row r="6182" spans="1:2" hidden="1">
      <c r="A6182" s="187" t="str">
        <f t="shared" si="39"/>
        <v/>
      </c>
      <c r="B6182" s="187" t="str">
        <f t="shared" si="38"/>
        <v/>
      </c>
    </row>
    <row r="6183" spans="1:2" hidden="1">
      <c r="A6183" s="187" t="str">
        <f t="shared" si="39"/>
        <v/>
      </c>
      <c r="B6183" s="187" t="str">
        <f t="shared" si="38"/>
        <v/>
      </c>
    </row>
    <row r="6184" spans="1:2" hidden="1">
      <c r="A6184" s="187" t="str">
        <f t="shared" si="39"/>
        <v/>
      </c>
      <c r="B6184" s="187" t="str">
        <f t="shared" si="38"/>
        <v/>
      </c>
    </row>
    <row r="6185" spans="1:2" hidden="1">
      <c r="A6185" s="187" t="str">
        <f t="shared" si="39"/>
        <v/>
      </c>
      <c r="B6185" s="187" t="str">
        <f t="shared" si="38"/>
        <v/>
      </c>
    </row>
    <row r="6186" spans="1:2" hidden="1">
      <c r="A6186" s="187" t="str">
        <f t="shared" si="39"/>
        <v/>
      </c>
      <c r="B6186" s="187" t="str">
        <f t="shared" si="38"/>
        <v/>
      </c>
    </row>
    <row r="6187" spans="1:2" hidden="1">
      <c r="A6187" s="187" t="str">
        <f t="shared" si="39"/>
        <v/>
      </c>
      <c r="B6187" s="187" t="str">
        <f t="shared" si="38"/>
        <v/>
      </c>
    </row>
    <row r="6188" spans="1:2" hidden="1">
      <c r="A6188" s="187" t="str">
        <f t="shared" si="39"/>
        <v/>
      </c>
      <c r="B6188" s="187" t="str">
        <f t="shared" si="38"/>
        <v/>
      </c>
    </row>
    <row r="6189" spans="1:2" hidden="1">
      <c r="A6189" s="187" t="str">
        <f t="shared" si="39"/>
        <v/>
      </c>
      <c r="B6189" s="187" t="str">
        <f t="shared" si="38"/>
        <v/>
      </c>
    </row>
    <row r="6190" spans="1:2" hidden="1">
      <c r="A6190" s="187" t="str">
        <f t="shared" si="39"/>
        <v/>
      </c>
      <c r="B6190" s="187" t="str">
        <f t="shared" si="38"/>
        <v/>
      </c>
    </row>
    <row r="6191" spans="1:2" hidden="1">
      <c r="A6191" s="187" t="str">
        <f t="shared" si="39"/>
        <v/>
      </c>
      <c r="B6191" s="187" t="str">
        <f t="shared" si="38"/>
        <v/>
      </c>
    </row>
    <row r="6192" spans="1:2" hidden="1">
      <c r="A6192" s="187" t="str">
        <f t="shared" si="39"/>
        <v/>
      </c>
      <c r="B6192" s="187" t="str">
        <f t="shared" si="38"/>
        <v/>
      </c>
    </row>
    <row r="6193" spans="1:2" hidden="1">
      <c r="A6193" s="187" t="str">
        <f t="shared" si="39"/>
        <v/>
      </c>
      <c r="B6193" s="187" t="str">
        <f t="shared" si="38"/>
        <v/>
      </c>
    </row>
    <row r="6194" spans="1:2" hidden="1">
      <c r="A6194" s="187" t="str">
        <f t="shared" si="39"/>
        <v/>
      </c>
      <c r="B6194" s="187" t="str">
        <f t="shared" si="38"/>
        <v/>
      </c>
    </row>
    <row r="6195" spans="1:2" hidden="1">
      <c r="A6195" s="187" t="str">
        <f t="shared" si="39"/>
        <v/>
      </c>
      <c r="B6195" s="187" t="str">
        <f t="shared" si="38"/>
        <v/>
      </c>
    </row>
    <row r="6196" spans="1:2" hidden="1">
      <c r="A6196" s="187" t="str">
        <f t="shared" si="39"/>
        <v/>
      </c>
      <c r="B6196" s="187" t="str">
        <f t="shared" si="38"/>
        <v/>
      </c>
    </row>
    <row r="6197" spans="1:2" hidden="1">
      <c r="A6197" s="187" t="str">
        <f t="shared" si="39"/>
        <v/>
      </c>
      <c r="B6197" s="187" t="str">
        <f t="shared" si="38"/>
        <v/>
      </c>
    </row>
    <row r="6198" spans="1:2" hidden="1">
      <c r="A6198" s="187" t="str">
        <f t="shared" si="39"/>
        <v/>
      </c>
      <c r="B6198" s="187" t="str">
        <f t="shared" si="38"/>
        <v/>
      </c>
    </row>
    <row r="6199" spans="1:2" hidden="1">
      <c r="A6199" s="187" t="str">
        <f t="shared" si="39"/>
        <v/>
      </c>
      <c r="B6199" s="187" t="str">
        <f t="shared" si="38"/>
        <v/>
      </c>
    </row>
    <row r="6200" spans="1:2" hidden="1">
      <c r="A6200" s="187" t="str">
        <f t="shared" si="39"/>
        <v/>
      </c>
      <c r="B6200" s="187" t="str">
        <f t="shared" si="38"/>
        <v/>
      </c>
    </row>
    <row r="6201" spans="1:2" hidden="1">
      <c r="A6201" s="187" t="str">
        <f t="shared" si="39"/>
        <v/>
      </c>
      <c r="B6201" s="187" t="str">
        <f t="shared" si="38"/>
        <v/>
      </c>
    </row>
    <row r="6202" spans="1:2" hidden="1">
      <c r="A6202" s="187" t="str">
        <f t="shared" si="39"/>
        <v/>
      </c>
      <c r="B6202" s="187" t="str">
        <f t="shared" si="38"/>
        <v/>
      </c>
    </row>
    <row r="6203" spans="1:2" hidden="1">
      <c r="A6203" s="187" t="str">
        <f t="shared" si="39"/>
        <v/>
      </c>
      <c r="B6203" s="187" t="str">
        <f t="shared" si="38"/>
        <v/>
      </c>
    </row>
    <row r="6204" spans="1:2" hidden="1">
      <c r="A6204" s="187" t="str">
        <f t="shared" si="39"/>
        <v/>
      </c>
      <c r="B6204" s="187" t="str">
        <f t="shared" si="38"/>
        <v/>
      </c>
    </row>
    <row r="6205" spans="1:2" hidden="1">
      <c r="A6205" s="187" t="str">
        <f t="shared" si="39"/>
        <v/>
      </c>
      <c r="B6205" s="187" t="str">
        <f t="shared" si="38"/>
        <v/>
      </c>
    </row>
    <row r="6206" spans="1:2" hidden="1">
      <c r="A6206" s="187" t="str">
        <f t="shared" si="39"/>
        <v/>
      </c>
      <c r="B6206" s="187" t="str">
        <f t="shared" si="38"/>
        <v/>
      </c>
    </row>
    <row r="6207" spans="1:2" hidden="1">
      <c r="A6207" s="187" t="str">
        <f t="shared" si="39"/>
        <v/>
      </c>
      <c r="B6207" s="187" t="str">
        <f t="shared" si="38"/>
        <v/>
      </c>
    </row>
    <row r="6208" spans="1:2" hidden="1">
      <c r="A6208" s="187" t="str">
        <f t="shared" si="39"/>
        <v/>
      </c>
      <c r="B6208" s="187" t="str">
        <f t="shared" si="38"/>
        <v/>
      </c>
    </row>
    <row r="6209" spans="1:2" hidden="1">
      <c r="A6209" s="187" t="str">
        <f t="shared" si="39"/>
        <v/>
      </c>
      <c r="B6209" s="187" t="str">
        <f t="shared" si="38"/>
        <v/>
      </c>
    </row>
    <row r="6210" spans="1:2" hidden="1">
      <c r="A6210" s="187" t="str">
        <f t="shared" si="39"/>
        <v/>
      </c>
      <c r="B6210" s="187" t="str">
        <f t="shared" si="38"/>
        <v/>
      </c>
    </row>
    <row r="6211" spans="1:2" hidden="1">
      <c r="A6211" s="187" t="str">
        <f t="shared" si="39"/>
        <v/>
      </c>
      <c r="B6211" s="187" t="str">
        <f t="shared" si="38"/>
        <v/>
      </c>
    </row>
    <row r="6212" spans="1:2" hidden="1">
      <c r="A6212" s="187" t="str">
        <f t="shared" si="39"/>
        <v/>
      </c>
      <c r="B6212" s="187" t="str">
        <f t="shared" si="38"/>
        <v/>
      </c>
    </row>
    <row r="6213" spans="1:2" hidden="1">
      <c r="A6213" s="187" t="str">
        <f t="shared" si="39"/>
        <v/>
      </c>
      <c r="B6213" s="187" t="str">
        <f t="shared" si="38"/>
        <v/>
      </c>
    </row>
    <row r="6214" spans="1:2" hidden="1">
      <c r="A6214" s="187" t="str">
        <f t="shared" si="39"/>
        <v/>
      </c>
      <c r="B6214" s="187" t="str">
        <f t="shared" si="38"/>
        <v/>
      </c>
    </row>
    <row r="6215" spans="1:2" hidden="1">
      <c r="A6215" s="187" t="str">
        <f t="shared" si="39"/>
        <v/>
      </c>
      <c r="B6215" s="187" t="str">
        <f t="shared" si="38"/>
        <v/>
      </c>
    </row>
    <row r="6216" spans="1:2" hidden="1">
      <c r="A6216" s="187" t="str">
        <f t="shared" si="39"/>
        <v/>
      </c>
      <c r="B6216" s="187" t="str">
        <f t="shared" si="38"/>
        <v/>
      </c>
    </row>
    <row r="6217" spans="1:2" hidden="1">
      <c r="A6217" s="187" t="str">
        <f t="shared" si="39"/>
        <v/>
      </c>
      <c r="B6217" s="187" t="str">
        <f t="shared" si="38"/>
        <v/>
      </c>
    </row>
    <row r="6218" spans="1:2" hidden="1">
      <c r="A6218" s="187" t="str">
        <f t="shared" si="39"/>
        <v/>
      </c>
      <c r="B6218" s="187" t="str">
        <f t="shared" si="38"/>
        <v/>
      </c>
    </row>
    <row r="6219" spans="1:2" hidden="1">
      <c r="A6219" s="187" t="str">
        <f t="shared" si="39"/>
        <v/>
      </c>
      <c r="B6219" s="187" t="str">
        <f t="shared" si="38"/>
        <v/>
      </c>
    </row>
    <row r="6220" spans="1:2" hidden="1">
      <c r="A6220" s="187" t="str">
        <f t="shared" si="39"/>
        <v/>
      </c>
      <c r="B6220" s="187" t="str">
        <f t="shared" si="38"/>
        <v/>
      </c>
    </row>
    <row r="6221" spans="1:2" hidden="1">
      <c r="A6221" s="187" t="str">
        <f t="shared" si="39"/>
        <v/>
      </c>
      <c r="B6221" s="187" t="str">
        <f t="shared" si="38"/>
        <v/>
      </c>
    </row>
    <row r="6222" spans="1:2" hidden="1">
      <c r="A6222" s="187" t="str">
        <f t="shared" si="39"/>
        <v/>
      </c>
      <c r="B6222" s="187" t="str">
        <f t="shared" si="38"/>
        <v/>
      </c>
    </row>
    <row r="6223" spans="1:2" hidden="1">
      <c r="A6223" s="187" t="str">
        <f t="shared" si="39"/>
        <v/>
      </c>
      <c r="B6223" s="187" t="str">
        <f t="shared" si="38"/>
        <v/>
      </c>
    </row>
    <row r="6224" spans="1:2" hidden="1">
      <c r="A6224" s="187" t="str">
        <f t="shared" si="39"/>
        <v/>
      </c>
      <c r="B6224" s="187" t="str">
        <f t="shared" si="38"/>
        <v/>
      </c>
    </row>
    <row r="6225" spans="1:2" hidden="1">
      <c r="A6225" s="187" t="str">
        <f t="shared" si="39"/>
        <v/>
      </c>
      <c r="B6225" s="187" t="str">
        <f t="shared" si="38"/>
        <v/>
      </c>
    </row>
    <row r="6226" spans="1:2" hidden="1">
      <c r="A6226" s="187" t="str">
        <f t="shared" si="39"/>
        <v/>
      </c>
      <c r="B6226" s="187" t="str">
        <f t="shared" si="38"/>
        <v/>
      </c>
    </row>
    <row r="6227" spans="1:2" hidden="1">
      <c r="A6227" s="187" t="str">
        <f t="shared" si="39"/>
        <v/>
      </c>
      <c r="B6227" s="187" t="str">
        <f t="shared" si="38"/>
        <v/>
      </c>
    </row>
    <row r="6228" spans="1:2" hidden="1">
      <c r="A6228" s="187" t="str">
        <f t="shared" si="39"/>
        <v/>
      </c>
      <c r="B6228" s="187" t="str">
        <f t="shared" si="38"/>
        <v/>
      </c>
    </row>
    <row r="6229" spans="1:2" hidden="1">
      <c r="A6229" s="187" t="str">
        <f t="shared" si="39"/>
        <v/>
      </c>
      <c r="B6229" s="187" t="str">
        <f t="shared" si="38"/>
        <v/>
      </c>
    </row>
    <row r="6230" spans="1:2" hidden="1">
      <c r="A6230" s="187" t="str">
        <f t="shared" si="39"/>
        <v/>
      </c>
      <c r="B6230" s="187" t="str">
        <f t="shared" si="38"/>
        <v/>
      </c>
    </row>
    <row r="6231" spans="1:2" hidden="1">
      <c r="A6231" s="187" t="str">
        <f t="shared" si="39"/>
        <v/>
      </c>
      <c r="B6231" s="187" t="str">
        <f t="shared" si="38"/>
        <v/>
      </c>
    </row>
    <row r="6232" spans="1:2" hidden="1">
      <c r="A6232" s="187" t="str">
        <f t="shared" si="39"/>
        <v/>
      </c>
      <c r="B6232" s="187" t="str">
        <f t="shared" si="38"/>
        <v/>
      </c>
    </row>
    <row r="6233" spans="1:2" hidden="1">
      <c r="A6233" s="187" t="str">
        <f t="shared" si="39"/>
        <v/>
      </c>
      <c r="B6233" s="187" t="str">
        <f t="shared" si="38"/>
        <v/>
      </c>
    </row>
    <row r="6234" spans="1:2" hidden="1">
      <c r="A6234" s="187" t="str">
        <f t="shared" si="39"/>
        <v/>
      </c>
      <c r="B6234" s="187" t="str">
        <f t="shared" si="38"/>
        <v/>
      </c>
    </row>
    <row r="6235" spans="1:2" hidden="1">
      <c r="A6235" s="187" t="str">
        <f t="shared" si="39"/>
        <v/>
      </c>
      <c r="B6235" s="187" t="str">
        <f t="shared" si="38"/>
        <v/>
      </c>
    </row>
    <row r="6236" spans="1:2" hidden="1">
      <c r="A6236" s="187" t="str">
        <f t="shared" si="39"/>
        <v/>
      </c>
      <c r="B6236" s="187" t="str">
        <f t="shared" ref="B6236:B6299" si="40">HYPERLINK("http://tw.stock.yahoo.com/d/s/earning_.html","")</f>
        <v/>
      </c>
    </row>
    <row r="6237" spans="1:2" hidden="1">
      <c r="A6237" s="187" t="str">
        <f t="shared" si="39"/>
        <v/>
      </c>
      <c r="B6237" s="187" t="str">
        <f t="shared" si="40"/>
        <v/>
      </c>
    </row>
    <row r="6238" spans="1:2" hidden="1">
      <c r="A6238" s="187" t="str">
        <f t="shared" si="39"/>
        <v/>
      </c>
      <c r="B6238" s="187" t="str">
        <f t="shared" si="40"/>
        <v/>
      </c>
    </row>
    <row r="6239" spans="1:2" hidden="1">
      <c r="A6239" s="187" t="str">
        <f t="shared" ref="A6239:A6302" si="41">HYPERLINK("http://tw.stock.yahoo.com/q/ta?s=","")</f>
        <v/>
      </c>
      <c r="B6239" s="187" t="str">
        <f t="shared" si="40"/>
        <v/>
      </c>
    </row>
    <row r="6240" spans="1:2" hidden="1">
      <c r="A6240" s="187" t="str">
        <f t="shared" si="41"/>
        <v/>
      </c>
      <c r="B6240" s="187" t="str">
        <f t="shared" si="40"/>
        <v/>
      </c>
    </row>
    <row r="6241" spans="1:2" hidden="1">
      <c r="A6241" s="187" t="str">
        <f t="shared" si="41"/>
        <v/>
      </c>
      <c r="B6241" s="187" t="str">
        <f t="shared" si="40"/>
        <v/>
      </c>
    </row>
    <row r="6242" spans="1:2" hidden="1">
      <c r="A6242" s="187" t="str">
        <f t="shared" si="41"/>
        <v/>
      </c>
      <c r="B6242" s="187" t="str">
        <f t="shared" si="40"/>
        <v/>
      </c>
    </row>
    <row r="6243" spans="1:2" hidden="1">
      <c r="A6243" s="187" t="str">
        <f t="shared" si="41"/>
        <v/>
      </c>
      <c r="B6243" s="187" t="str">
        <f t="shared" si="40"/>
        <v/>
      </c>
    </row>
    <row r="6244" spans="1:2" hidden="1">
      <c r="A6244" s="187" t="str">
        <f t="shared" si="41"/>
        <v/>
      </c>
      <c r="B6244" s="187" t="str">
        <f t="shared" si="40"/>
        <v/>
      </c>
    </row>
    <row r="6245" spans="1:2" hidden="1">
      <c r="A6245" s="187" t="str">
        <f t="shared" si="41"/>
        <v/>
      </c>
      <c r="B6245" s="187" t="str">
        <f t="shared" si="40"/>
        <v/>
      </c>
    </row>
    <row r="6246" spans="1:2" hidden="1">
      <c r="A6246" s="187" t="str">
        <f t="shared" si="41"/>
        <v/>
      </c>
      <c r="B6246" s="187" t="str">
        <f t="shared" si="40"/>
        <v/>
      </c>
    </row>
    <row r="6247" spans="1:2" hidden="1">
      <c r="A6247" s="187" t="str">
        <f t="shared" si="41"/>
        <v/>
      </c>
      <c r="B6247" s="187" t="str">
        <f t="shared" si="40"/>
        <v/>
      </c>
    </row>
    <row r="6248" spans="1:2" hidden="1">
      <c r="A6248" s="187" t="str">
        <f t="shared" si="41"/>
        <v/>
      </c>
      <c r="B6248" s="187" t="str">
        <f t="shared" si="40"/>
        <v/>
      </c>
    </row>
    <row r="6249" spans="1:2" hidden="1">
      <c r="A6249" s="187" t="str">
        <f t="shared" si="41"/>
        <v/>
      </c>
      <c r="B6249" s="187" t="str">
        <f t="shared" si="40"/>
        <v/>
      </c>
    </row>
    <row r="6250" spans="1:2" hidden="1">
      <c r="A6250" s="187" t="str">
        <f t="shared" si="41"/>
        <v/>
      </c>
      <c r="B6250" s="187" t="str">
        <f t="shared" si="40"/>
        <v/>
      </c>
    </row>
    <row r="6251" spans="1:2" hidden="1">
      <c r="A6251" s="187" t="str">
        <f t="shared" si="41"/>
        <v/>
      </c>
      <c r="B6251" s="187" t="str">
        <f t="shared" si="40"/>
        <v/>
      </c>
    </row>
    <row r="6252" spans="1:2" hidden="1">
      <c r="A6252" s="187" t="str">
        <f t="shared" si="41"/>
        <v/>
      </c>
      <c r="B6252" s="187" t="str">
        <f t="shared" si="40"/>
        <v/>
      </c>
    </row>
    <row r="6253" spans="1:2" hidden="1">
      <c r="A6253" s="187" t="str">
        <f t="shared" si="41"/>
        <v/>
      </c>
      <c r="B6253" s="187" t="str">
        <f t="shared" si="40"/>
        <v/>
      </c>
    </row>
    <row r="6254" spans="1:2" hidden="1">
      <c r="A6254" s="187" t="str">
        <f t="shared" si="41"/>
        <v/>
      </c>
      <c r="B6254" s="187" t="str">
        <f t="shared" si="40"/>
        <v/>
      </c>
    </row>
    <row r="6255" spans="1:2" hidden="1">
      <c r="A6255" s="187" t="str">
        <f t="shared" si="41"/>
        <v/>
      </c>
      <c r="B6255" s="187" t="str">
        <f t="shared" si="40"/>
        <v/>
      </c>
    </row>
    <row r="6256" spans="1:2" hidden="1">
      <c r="A6256" s="187" t="str">
        <f t="shared" si="41"/>
        <v/>
      </c>
      <c r="B6256" s="187" t="str">
        <f t="shared" si="40"/>
        <v/>
      </c>
    </row>
    <row r="6257" spans="1:2" hidden="1">
      <c r="A6257" s="187" t="str">
        <f t="shared" si="41"/>
        <v/>
      </c>
      <c r="B6257" s="187" t="str">
        <f t="shared" si="40"/>
        <v/>
      </c>
    </row>
    <row r="6258" spans="1:2" hidden="1">
      <c r="A6258" s="187" t="str">
        <f t="shared" si="41"/>
        <v/>
      </c>
      <c r="B6258" s="187" t="str">
        <f t="shared" si="40"/>
        <v/>
      </c>
    </row>
    <row r="6259" spans="1:2" hidden="1">
      <c r="A6259" s="187" t="str">
        <f t="shared" si="41"/>
        <v/>
      </c>
      <c r="B6259" s="187" t="str">
        <f t="shared" si="40"/>
        <v/>
      </c>
    </row>
    <row r="6260" spans="1:2" hidden="1">
      <c r="A6260" s="187" t="str">
        <f t="shared" si="41"/>
        <v/>
      </c>
      <c r="B6260" s="187" t="str">
        <f t="shared" si="40"/>
        <v/>
      </c>
    </row>
    <row r="6261" spans="1:2" hidden="1">
      <c r="A6261" s="187" t="str">
        <f t="shared" si="41"/>
        <v/>
      </c>
      <c r="B6261" s="187" t="str">
        <f t="shared" si="40"/>
        <v/>
      </c>
    </row>
    <row r="6262" spans="1:2" hidden="1">
      <c r="A6262" s="187" t="str">
        <f t="shared" si="41"/>
        <v/>
      </c>
      <c r="B6262" s="187" t="str">
        <f t="shared" si="40"/>
        <v/>
      </c>
    </row>
    <row r="6263" spans="1:2" hidden="1">
      <c r="A6263" s="187" t="str">
        <f t="shared" si="41"/>
        <v/>
      </c>
      <c r="B6263" s="187" t="str">
        <f t="shared" si="40"/>
        <v/>
      </c>
    </row>
    <row r="6264" spans="1:2" hidden="1">
      <c r="A6264" s="187" t="str">
        <f t="shared" si="41"/>
        <v/>
      </c>
      <c r="B6264" s="187" t="str">
        <f t="shared" si="40"/>
        <v/>
      </c>
    </row>
    <row r="6265" spans="1:2" hidden="1">
      <c r="A6265" s="187" t="str">
        <f t="shared" si="41"/>
        <v/>
      </c>
      <c r="B6265" s="187" t="str">
        <f t="shared" si="40"/>
        <v/>
      </c>
    </row>
    <row r="6266" spans="1:2" hidden="1">
      <c r="A6266" s="187" t="str">
        <f t="shared" si="41"/>
        <v/>
      </c>
      <c r="B6266" s="187" t="str">
        <f t="shared" si="40"/>
        <v/>
      </c>
    </row>
    <row r="6267" spans="1:2" hidden="1">
      <c r="A6267" s="187" t="str">
        <f t="shared" si="41"/>
        <v/>
      </c>
      <c r="B6267" s="187" t="str">
        <f t="shared" si="40"/>
        <v/>
      </c>
    </row>
    <row r="6268" spans="1:2" hidden="1">
      <c r="A6268" s="187" t="str">
        <f t="shared" si="41"/>
        <v/>
      </c>
      <c r="B6268" s="187" t="str">
        <f t="shared" si="40"/>
        <v/>
      </c>
    </row>
    <row r="6269" spans="1:2" hidden="1">
      <c r="A6269" s="187" t="str">
        <f t="shared" si="41"/>
        <v/>
      </c>
      <c r="B6269" s="187" t="str">
        <f t="shared" si="40"/>
        <v/>
      </c>
    </row>
    <row r="6270" spans="1:2" hidden="1">
      <c r="A6270" s="187" t="str">
        <f t="shared" si="41"/>
        <v/>
      </c>
      <c r="B6270" s="187" t="str">
        <f t="shared" si="40"/>
        <v/>
      </c>
    </row>
    <row r="6271" spans="1:2" hidden="1">
      <c r="A6271" s="187" t="str">
        <f t="shared" si="41"/>
        <v/>
      </c>
      <c r="B6271" s="187" t="str">
        <f t="shared" si="40"/>
        <v/>
      </c>
    </row>
    <row r="6272" spans="1:2" hidden="1">
      <c r="A6272" s="187" t="str">
        <f t="shared" si="41"/>
        <v/>
      </c>
      <c r="B6272" s="187" t="str">
        <f t="shared" si="40"/>
        <v/>
      </c>
    </row>
    <row r="6273" spans="1:2" hidden="1">
      <c r="A6273" s="187" t="str">
        <f t="shared" si="41"/>
        <v/>
      </c>
      <c r="B6273" s="187" t="str">
        <f t="shared" si="40"/>
        <v/>
      </c>
    </row>
    <row r="6274" spans="1:2" hidden="1">
      <c r="A6274" s="187" t="str">
        <f t="shared" si="41"/>
        <v/>
      </c>
      <c r="B6274" s="187" t="str">
        <f t="shared" si="40"/>
        <v/>
      </c>
    </row>
    <row r="6275" spans="1:2" hidden="1">
      <c r="A6275" s="187" t="str">
        <f t="shared" si="41"/>
        <v/>
      </c>
      <c r="B6275" s="187" t="str">
        <f t="shared" si="40"/>
        <v/>
      </c>
    </row>
    <row r="6276" spans="1:2" hidden="1">
      <c r="A6276" s="187" t="str">
        <f t="shared" si="41"/>
        <v/>
      </c>
      <c r="B6276" s="187" t="str">
        <f t="shared" si="40"/>
        <v/>
      </c>
    </row>
    <row r="6277" spans="1:2" hidden="1">
      <c r="A6277" s="187" t="str">
        <f t="shared" si="41"/>
        <v/>
      </c>
      <c r="B6277" s="187" t="str">
        <f t="shared" si="40"/>
        <v/>
      </c>
    </row>
    <row r="6278" spans="1:2" hidden="1">
      <c r="A6278" s="187" t="str">
        <f t="shared" si="41"/>
        <v/>
      </c>
      <c r="B6278" s="187" t="str">
        <f t="shared" si="40"/>
        <v/>
      </c>
    </row>
    <row r="6279" spans="1:2" hidden="1">
      <c r="A6279" s="187" t="str">
        <f t="shared" si="41"/>
        <v/>
      </c>
      <c r="B6279" s="187" t="str">
        <f t="shared" si="40"/>
        <v/>
      </c>
    </row>
    <row r="6280" spans="1:2" hidden="1">
      <c r="A6280" s="187" t="str">
        <f t="shared" si="41"/>
        <v/>
      </c>
      <c r="B6280" s="187" t="str">
        <f t="shared" si="40"/>
        <v/>
      </c>
    </row>
    <row r="6281" spans="1:2" hidden="1">
      <c r="A6281" s="187" t="str">
        <f t="shared" si="41"/>
        <v/>
      </c>
      <c r="B6281" s="187" t="str">
        <f t="shared" si="40"/>
        <v/>
      </c>
    </row>
    <row r="6282" spans="1:2" hidden="1">
      <c r="A6282" s="187" t="str">
        <f t="shared" si="41"/>
        <v/>
      </c>
      <c r="B6282" s="187" t="str">
        <f t="shared" si="40"/>
        <v/>
      </c>
    </row>
    <row r="6283" spans="1:2" hidden="1">
      <c r="A6283" s="187" t="str">
        <f t="shared" si="41"/>
        <v/>
      </c>
      <c r="B6283" s="187" t="str">
        <f t="shared" si="40"/>
        <v/>
      </c>
    </row>
    <row r="6284" spans="1:2" hidden="1">
      <c r="A6284" s="187" t="str">
        <f t="shared" si="41"/>
        <v/>
      </c>
      <c r="B6284" s="187" t="str">
        <f t="shared" si="40"/>
        <v/>
      </c>
    </row>
    <row r="6285" spans="1:2" hidden="1">
      <c r="A6285" s="187" t="str">
        <f t="shared" si="41"/>
        <v/>
      </c>
      <c r="B6285" s="187" t="str">
        <f t="shared" si="40"/>
        <v/>
      </c>
    </row>
    <row r="6286" spans="1:2" hidden="1">
      <c r="A6286" s="187" t="str">
        <f t="shared" si="41"/>
        <v/>
      </c>
      <c r="B6286" s="187" t="str">
        <f t="shared" si="40"/>
        <v/>
      </c>
    </row>
    <row r="6287" spans="1:2" hidden="1">
      <c r="A6287" s="187" t="str">
        <f t="shared" si="41"/>
        <v/>
      </c>
      <c r="B6287" s="187" t="str">
        <f t="shared" si="40"/>
        <v/>
      </c>
    </row>
    <row r="6288" spans="1:2" hidden="1">
      <c r="A6288" s="187" t="str">
        <f t="shared" si="41"/>
        <v/>
      </c>
      <c r="B6288" s="187" t="str">
        <f t="shared" si="40"/>
        <v/>
      </c>
    </row>
    <row r="6289" spans="1:2" hidden="1">
      <c r="A6289" s="187" t="str">
        <f t="shared" si="41"/>
        <v/>
      </c>
      <c r="B6289" s="187" t="str">
        <f t="shared" si="40"/>
        <v/>
      </c>
    </row>
    <row r="6290" spans="1:2" hidden="1">
      <c r="A6290" s="187" t="str">
        <f t="shared" si="41"/>
        <v/>
      </c>
      <c r="B6290" s="187" t="str">
        <f t="shared" si="40"/>
        <v/>
      </c>
    </row>
    <row r="6291" spans="1:2" hidden="1">
      <c r="A6291" s="187" t="str">
        <f t="shared" si="41"/>
        <v/>
      </c>
      <c r="B6291" s="187" t="str">
        <f t="shared" si="40"/>
        <v/>
      </c>
    </row>
    <row r="6292" spans="1:2" hidden="1">
      <c r="A6292" s="187" t="str">
        <f t="shared" si="41"/>
        <v/>
      </c>
      <c r="B6292" s="187" t="str">
        <f t="shared" si="40"/>
        <v/>
      </c>
    </row>
    <row r="6293" spans="1:2" hidden="1">
      <c r="A6293" s="187" t="str">
        <f t="shared" si="41"/>
        <v/>
      </c>
      <c r="B6293" s="187" t="str">
        <f t="shared" si="40"/>
        <v/>
      </c>
    </row>
    <row r="6294" spans="1:2" hidden="1">
      <c r="A6294" s="187" t="str">
        <f t="shared" si="41"/>
        <v/>
      </c>
      <c r="B6294" s="187" t="str">
        <f t="shared" si="40"/>
        <v/>
      </c>
    </row>
    <row r="6295" spans="1:2" hidden="1">
      <c r="A6295" s="187" t="str">
        <f t="shared" si="41"/>
        <v/>
      </c>
      <c r="B6295" s="187" t="str">
        <f t="shared" si="40"/>
        <v/>
      </c>
    </row>
    <row r="6296" spans="1:2" hidden="1">
      <c r="A6296" s="187" t="str">
        <f t="shared" si="41"/>
        <v/>
      </c>
      <c r="B6296" s="187" t="str">
        <f t="shared" si="40"/>
        <v/>
      </c>
    </row>
    <row r="6297" spans="1:2" hidden="1">
      <c r="A6297" s="187" t="str">
        <f t="shared" si="41"/>
        <v/>
      </c>
      <c r="B6297" s="187" t="str">
        <f t="shared" si="40"/>
        <v/>
      </c>
    </row>
    <row r="6298" spans="1:2" hidden="1">
      <c r="A6298" s="187" t="str">
        <f t="shared" si="41"/>
        <v/>
      </c>
      <c r="B6298" s="187" t="str">
        <f t="shared" si="40"/>
        <v/>
      </c>
    </row>
    <row r="6299" spans="1:2" hidden="1">
      <c r="A6299" s="187" t="str">
        <f t="shared" si="41"/>
        <v/>
      </c>
      <c r="B6299" s="187" t="str">
        <f t="shared" si="40"/>
        <v/>
      </c>
    </row>
    <row r="6300" spans="1:2" hidden="1">
      <c r="A6300" s="187" t="str">
        <f t="shared" si="41"/>
        <v/>
      </c>
      <c r="B6300" s="187" t="str">
        <f t="shared" ref="B6300:B6363" si="42">HYPERLINK("http://tw.stock.yahoo.com/d/s/earning_.html","")</f>
        <v/>
      </c>
    </row>
    <row r="6301" spans="1:2" hidden="1">
      <c r="A6301" s="187" t="str">
        <f t="shared" si="41"/>
        <v/>
      </c>
      <c r="B6301" s="187" t="str">
        <f t="shared" si="42"/>
        <v/>
      </c>
    </row>
    <row r="6302" spans="1:2" hidden="1">
      <c r="A6302" s="187" t="str">
        <f t="shared" si="41"/>
        <v/>
      </c>
      <c r="B6302" s="187" t="str">
        <f t="shared" si="42"/>
        <v/>
      </c>
    </row>
    <row r="6303" spans="1:2" hidden="1">
      <c r="A6303" s="187" t="str">
        <f t="shared" ref="A6303:A6366" si="43">HYPERLINK("http://tw.stock.yahoo.com/q/ta?s=","")</f>
        <v/>
      </c>
      <c r="B6303" s="187" t="str">
        <f t="shared" si="42"/>
        <v/>
      </c>
    </row>
    <row r="6304" spans="1:2" hidden="1">
      <c r="A6304" s="187" t="str">
        <f t="shared" si="43"/>
        <v/>
      </c>
      <c r="B6304" s="187" t="str">
        <f t="shared" si="42"/>
        <v/>
      </c>
    </row>
    <row r="6305" spans="1:2" hidden="1">
      <c r="A6305" s="187" t="str">
        <f t="shared" si="43"/>
        <v/>
      </c>
      <c r="B6305" s="187" t="str">
        <f t="shared" si="42"/>
        <v/>
      </c>
    </row>
    <row r="6306" spans="1:2" hidden="1">
      <c r="A6306" s="187" t="str">
        <f t="shared" si="43"/>
        <v/>
      </c>
      <c r="B6306" s="187" t="str">
        <f t="shared" si="42"/>
        <v/>
      </c>
    </row>
    <row r="6307" spans="1:2" hidden="1">
      <c r="A6307" s="187" t="str">
        <f t="shared" si="43"/>
        <v/>
      </c>
      <c r="B6307" s="187" t="str">
        <f t="shared" si="42"/>
        <v/>
      </c>
    </row>
    <row r="6308" spans="1:2" hidden="1">
      <c r="A6308" s="187" t="str">
        <f t="shared" si="43"/>
        <v/>
      </c>
      <c r="B6308" s="187" t="str">
        <f t="shared" si="42"/>
        <v/>
      </c>
    </row>
    <row r="6309" spans="1:2" hidden="1">
      <c r="A6309" s="187" t="str">
        <f t="shared" si="43"/>
        <v/>
      </c>
      <c r="B6309" s="187" t="str">
        <f t="shared" si="42"/>
        <v/>
      </c>
    </row>
    <row r="6310" spans="1:2" hidden="1">
      <c r="A6310" s="187" t="str">
        <f t="shared" si="43"/>
        <v/>
      </c>
      <c r="B6310" s="187" t="str">
        <f t="shared" si="42"/>
        <v/>
      </c>
    </row>
    <row r="6311" spans="1:2" hidden="1">
      <c r="A6311" s="187" t="str">
        <f t="shared" si="43"/>
        <v/>
      </c>
      <c r="B6311" s="187" t="str">
        <f t="shared" si="42"/>
        <v/>
      </c>
    </row>
    <row r="6312" spans="1:2" hidden="1">
      <c r="A6312" s="187" t="str">
        <f t="shared" si="43"/>
        <v/>
      </c>
      <c r="B6312" s="187" t="str">
        <f t="shared" si="42"/>
        <v/>
      </c>
    </row>
    <row r="6313" spans="1:2" hidden="1">
      <c r="A6313" s="187" t="str">
        <f t="shared" si="43"/>
        <v/>
      </c>
      <c r="B6313" s="187" t="str">
        <f t="shared" si="42"/>
        <v/>
      </c>
    </row>
    <row r="6314" spans="1:2" hidden="1">
      <c r="A6314" s="187" t="str">
        <f t="shared" si="43"/>
        <v/>
      </c>
      <c r="B6314" s="187" t="str">
        <f t="shared" si="42"/>
        <v/>
      </c>
    </row>
    <row r="6315" spans="1:2" hidden="1">
      <c r="A6315" s="187" t="str">
        <f t="shared" si="43"/>
        <v/>
      </c>
      <c r="B6315" s="187" t="str">
        <f t="shared" si="42"/>
        <v/>
      </c>
    </row>
    <row r="6316" spans="1:2" hidden="1">
      <c r="A6316" s="187" t="str">
        <f t="shared" si="43"/>
        <v/>
      </c>
      <c r="B6316" s="187" t="str">
        <f t="shared" si="42"/>
        <v/>
      </c>
    </row>
    <row r="6317" spans="1:2" hidden="1">
      <c r="A6317" s="187" t="str">
        <f t="shared" si="43"/>
        <v/>
      </c>
      <c r="B6317" s="187" t="str">
        <f t="shared" si="42"/>
        <v/>
      </c>
    </row>
    <row r="6318" spans="1:2" hidden="1">
      <c r="A6318" s="187" t="str">
        <f t="shared" si="43"/>
        <v/>
      </c>
      <c r="B6318" s="187" t="str">
        <f t="shared" si="42"/>
        <v/>
      </c>
    </row>
    <row r="6319" spans="1:2" hidden="1">
      <c r="A6319" s="187" t="str">
        <f t="shared" si="43"/>
        <v/>
      </c>
      <c r="B6319" s="187" t="str">
        <f t="shared" si="42"/>
        <v/>
      </c>
    </row>
    <row r="6320" spans="1:2" hidden="1">
      <c r="A6320" s="187" t="str">
        <f t="shared" si="43"/>
        <v/>
      </c>
      <c r="B6320" s="187" t="str">
        <f t="shared" si="42"/>
        <v/>
      </c>
    </row>
    <row r="6321" spans="1:2" hidden="1">
      <c r="A6321" s="187" t="str">
        <f t="shared" si="43"/>
        <v/>
      </c>
      <c r="B6321" s="187" t="str">
        <f t="shared" si="42"/>
        <v/>
      </c>
    </row>
    <row r="6322" spans="1:2" hidden="1">
      <c r="A6322" s="187" t="str">
        <f t="shared" si="43"/>
        <v/>
      </c>
      <c r="B6322" s="187" t="str">
        <f t="shared" si="42"/>
        <v/>
      </c>
    </row>
    <row r="6323" spans="1:2" hidden="1">
      <c r="A6323" s="187" t="str">
        <f t="shared" si="43"/>
        <v/>
      </c>
      <c r="B6323" s="187" t="str">
        <f t="shared" si="42"/>
        <v/>
      </c>
    </row>
    <row r="6324" spans="1:2" hidden="1">
      <c r="A6324" s="187" t="str">
        <f t="shared" si="43"/>
        <v/>
      </c>
      <c r="B6324" s="187" t="str">
        <f t="shared" si="42"/>
        <v/>
      </c>
    </row>
    <row r="6325" spans="1:2" hidden="1">
      <c r="A6325" s="187" t="str">
        <f t="shared" si="43"/>
        <v/>
      </c>
      <c r="B6325" s="187" t="str">
        <f t="shared" si="42"/>
        <v/>
      </c>
    </row>
    <row r="6326" spans="1:2" hidden="1">
      <c r="A6326" s="187" t="str">
        <f t="shared" si="43"/>
        <v/>
      </c>
      <c r="B6326" s="187" t="str">
        <f t="shared" si="42"/>
        <v/>
      </c>
    </row>
    <row r="6327" spans="1:2" hidden="1">
      <c r="A6327" s="187" t="str">
        <f t="shared" si="43"/>
        <v/>
      </c>
      <c r="B6327" s="187" t="str">
        <f t="shared" si="42"/>
        <v/>
      </c>
    </row>
    <row r="6328" spans="1:2" hidden="1">
      <c r="A6328" s="187" t="str">
        <f t="shared" si="43"/>
        <v/>
      </c>
      <c r="B6328" s="187" t="str">
        <f t="shared" si="42"/>
        <v/>
      </c>
    </row>
    <row r="6329" spans="1:2" hidden="1">
      <c r="A6329" s="187" t="str">
        <f t="shared" si="43"/>
        <v/>
      </c>
      <c r="B6329" s="187" t="str">
        <f t="shared" si="42"/>
        <v/>
      </c>
    </row>
    <row r="6330" spans="1:2" hidden="1">
      <c r="A6330" s="187" t="str">
        <f t="shared" si="43"/>
        <v/>
      </c>
      <c r="B6330" s="187" t="str">
        <f t="shared" si="42"/>
        <v/>
      </c>
    </row>
    <row r="6331" spans="1:2" hidden="1">
      <c r="A6331" s="187" t="str">
        <f t="shared" si="43"/>
        <v/>
      </c>
      <c r="B6331" s="187" t="str">
        <f t="shared" si="42"/>
        <v/>
      </c>
    </row>
    <row r="6332" spans="1:2" hidden="1">
      <c r="A6332" s="187" t="str">
        <f t="shared" si="43"/>
        <v/>
      </c>
      <c r="B6332" s="187" t="str">
        <f t="shared" si="42"/>
        <v/>
      </c>
    </row>
    <row r="6333" spans="1:2" hidden="1">
      <c r="A6333" s="187" t="str">
        <f t="shared" si="43"/>
        <v/>
      </c>
      <c r="B6333" s="187" t="str">
        <f t="shared" si="42"/>
        <v/>
      </c>
    </row>
    <row r="6334" spans="1:2" hidden="1">
      <c r="A6334" s="187" t="str">
        <f t="shared" si="43"/>
        <v/>
      </c>
      <c r="B6334" s="187" t="str">
        <f t="shared" si="42"/>
        <v/>
      </c>
    </row>
    <row r="6335" spans="1:2" hidden="1">
      <c r="A6335" s="187" t="str">
        <f t="shared" si="43"/>
        <v/>
      </c>
      <c r="B6335" s="187" t="str">
        <f t="shared" si="42"/>
        <v/>
      </c>
    </row>
    <row r="6336" spans="1:2" hidden="1">
      <c r="A6336" s="187" t="str">
        <f t="shared" si="43"/>
        <v/>
      </c>
      <c r="B6336" s="187" t="str">
        <f t="shared" si="42"/>
        <v/>
      </c>
    </row>
    <row r="6337" spans="1:2" hidden="1">
      <c r="A6337" s="187" t="str">
        <f t="shared" si="43"/>
        <v/>
      </c>
      <c r="B6337" s="187" t="str">
        <f t="shared" si="42"/>
        <v/>
      </c>
    </row>
    <row r="6338" spans="1:2" hidden="1">
      <c r="A6338" s="187" t="str">
        <f t="shared" si="43"/>
        <v/>
      </c>
      <c r="B6338" s="187" t="str">
        <f t="shared" si="42"/>
        <v/>
      </c>
    </row>
    <row r="6339" spans="1:2" hidden="1">
      <c r="A6339" s="187" t="str">
        <f t="shared" si="43"/>
        <v/>
      </c>
      <c r="B6339" s="187" t="str">
        <f t="shared" si="42"/>
        <v/>
      </c>
    </row>
    <row r="6340" spans="1:2" hidden="1">
      <c r="A6340" s="187" t="str">
        <f t="shared" si="43"/>
        <v/>
      </c>
      <c r="B6340" s="187" t="str">
        <f t="shared" si="42"/>
        <v/>
      </c>
    </row>
    <row r="6341" spans="1:2" hidden="1">
      <c r="A6341" s="187" t="str">
        <f t="shared" si="43"/>
        <v/>
      </c>
      <c r="B6341" s="187" t="str">
        <f t="shared" si="42"/>
        <v/>
      </c>
    </row>
    <row r="6342" spans="1:2" hidden="1">
      <c r="A6342" s="187" t="str">
        <f t="shared" si="43"/>
        <v/>
      </c>
      <c r="B6342" s="187" t="str">
        <f t="shared" si="42"/>
        <v/>
      </c>
    </row>
    <row r="6343" spans="1:2" hidden="1">
      <c r="A6343" s="187" t="str">
        <f t="shared" si="43"/>
        <v/>
      </c>
      <c r="B6343" s="187" t="str">
        <f t="shared" si="42"/>
        <v/>
      </c>
    </row>
    <row r="6344" spans="1:2" hidden="1">
      <c r="A6344" s="187" t="str">
        <f t="shared" si="43"/>
        <v/>
      </c>
      <c r="B6344" s="187" t="str">
        <f t="shared" si="42"/>
        <v/>
      </c>
    </row>
    <row r="6345" spans="1:2" hidden="1">
      <c r="A6345" s="187" t="str">
        <f t="shared" si="43"/>
        <v/>
      </c>
      <c r="B6345" s="187" t="str">
        <f t="shared" si="42"/>
        <v/>
      </c>
    </row>
    <row r="6346" spans="1:2" hidden="1">
      <c r="A6346" s="187" t="str">
        <f t="shared" si="43"/>
        <v/>
      </c>
      <c r="B6346" s="187" t="str">
        <f t="shared" si="42"/>
        <v/>
      </c>
    </row>
    <row r="6347" spans="1:2" hidden="1">
      <c r="A6347" s="187" t="str">
        <f t="shared" si="43"/>
        <v/>
      </c>
      <c r="B6347" s="187" t="str">
        <f t="shared" si="42"/>
        <v/>
      </c>
    </row>
    <row r="6348" spans="1:2" hidden="1">
      <c r="A6348" s="187" t="str">
        <f t="shared" si="43"/>
        <v/>
      </c>
      <c r="B6348" s="187" t="str">
        <f t="shared" si="42"/>
        <v/>
      </c>
    </row>
    <row r="6349" spans="1:2" hidden="1">
      <c r="A6349" s="187" t="str">
        <f t="shared" si="43"/>
        <v/>
      </c>
      <c r="B6349" s="187" t="str">
        <f t="shared" si="42"/>
        <v/>
      </c>
    </row>
    <row r="6350" spans="1:2" hidden="1">
      <c r="A6350" s="187" t="str">
        <f t="shared" si="43"/>
        <v/>
      </c>
      <c r="B6350" s="187" t="str">
        <f t="shared" si="42"/>
        <v/>
      </c>
    </row>
    <row r="6351" spans="1:2" hidden="1">
      <c r="A6351" s="187" t="str">
        <f t="shared" si="43"/>
        <v/>
      </c>
      <c r="B6351" s="187" t="str">
        <f t="shared" si="42"/>
        <v/>
      </c>
    </row>
    <row r="6352" spans="1:2" hidden="1">
      <c r="A6352" s="187" t="str">
        <f t="shared" si="43"/>
        <v/>
      </c>
      <c r="B6352" s="187" t="str">
        <f t="shared" si="42"/>
        <v/>
      </c>
    </row>
    <row r="6353" spans="1:2" hidden="1">
      <c r="A6353" s="187" t="str">
        <f t="shared" si="43"/>
        <v/>
      </c>
      <c r="B6353" s="187" t="str">
        <f t="shared" si="42"/>
        <v/>
      </c>
    </row>
    <row r="6354" spans="1:2" hidden="1">
      <c r="A6354" s="187" t="str">
        <f t="shared" si="43"/>
        <v/>
      </c>
      <c r="B6354" s="187" t="str">
        <f t="shared" si="42"/>
        <v/>
      </c>
    </row>
    <row r="6355" spans="1:2" hidden="1">
      <c r="A6355" s="187" t="str">
        <f t="shared" si="43"/>
        <v/>
      </c>
      <c r="B6355" s="187" t="str">
        <f t="shared" si="42"/>
        <v/>
      </c>
    </row>
    <row r="6356" spans="1:2" hidden="1">
      <c r="A6356" s="187" t="str">
        <f t="shared" si="43"/>
        <v/>
      </c>
      <c r="B6356" s="187" t="str">
        <f t="shared" si="42"/>
        <v/>
      </c>
    </row>
    <row r="6357" spans="1:2" hidden="1">
      <c r="A6357" s="187" t="str">
        <f t="shared" si="43"/>
        <v/>
      </c>
      <c r="B6357" s="187" t="str">
        <f t="shared" si="42"/>
        <v/>
      </c>
    </row>
    <row r="6358" spans="1:2" hidden="1">
      <c r="A6358" s="187" t="str">
        <f t="shared" si="43"/>
        <v/>
      </c>
      <c r="B6358" s="187" t="str">
        <f t="shared" si="42"/>
        <v/>
      </c>
    </row>
    <row r="6359" spans="1:2" hidden="1">
      <c r="A6359" s="187" t="str">
        <f t="shared" si="43"/>
        <v/>
      </c>
      <c r="B6359" s="187" t="str">
        <f t="shared" si="42"/>
        <v/>
      </c>
    </row>
    <row r="6360" spans="1:2" hidden="1">
      <c r="A6360" s="187" t="str">
        <f t="shared" si="43"/>
        <v/>
      </c>
      <c r="B6360" s="187" t="str">
        <f t="shared" si="42"/>
        <v/>
      </c>
    </row>
    <row r="6361" spans="1:2" hidden="1">
      <c r="A6361" s="187" t="str">
        <f t="shared" si="43"/>
        <v/>
      </c>
      <c r="B6361" s="187" t="str">
        <f t="shared" si="42"/>
        <v/>
      </c>
    </row>
    <row r="6362" spans="1:2" hidden="1">
      <c r="A6362" s="187" t="str">
        <f t="shared" si="43"/>
        <v/>
      </c>
      <c r="B6362" s="187" t="str">
        <f t="shared" si="42"/>
        <v/>
      </c>
    </row>
    <row r="6363" spans="1:2" hidden="1">
      <c r="A6363" s="187" t="str">
        <f t="shared" si="43"/>
        <v/>
      </c>
      <c r="B6363" s="187" t="str">
        <f t="shared" si="42"/>
        <v/>
      </c>
    </row>
    <row r="6364" spans="1:2" hidden="1">
      <c r="A6364" s="187" t="str">
        <f t="shared" si="43"/>
        <v/>
      </c>
      <c r="B6364" s="187" t="str">
        <f t="shared" ref="B6364:B6427" si="44">HYPERLINK("http://tw.stock.yahoo.com/d/s/earning_.html","")</f>
        <v/>
      </c>
    </row>
    <row r="6365" spans="1:2" hidden="1">
      <c r="A6365" s="187" t="str">
        <f t="shared" si="43"/>
        <v/>
      </c>
      <c r="B6365" s="187" t="str">
        <f t="shared" si="44"/>
        <v/>
      </c>
    </row>
    <row r="6366" spans="1:2" hidden="1">
      <c r="A6366" s="187" t="str">
        <f t="shared" si="43"/>
        <v/>
      </c>
      <c r="B6366" s="187" t="str">
        <f t="shared" si="44"/>
        <v/>
      </c>
    </row>
    <row r="6367" spans="1:2" hidden="1">
      <c r="A6367" s="187" t="str">
        <f t="shared" ref="A6367:A6430" si="45">HYPERLINK("http://tw.stock.yahoo.com/q/ta?s=","")</f>
        <v/>
      </c>
      <c r="B6367" s="187" t="str">
        <f t="shared" si="44"/>
        <v/>
      </c>
    </row>
    <row r="6368" spans="1:2" hidden="1">
      <c r="A6368" s="187" t="str">
        <f t="shared" si="45"/>
        <v/>
      </c>
      <c r="B6368" s="187" t="str">
        <f t="shared" si="44"/>
        <v/>
      </c>
    </row>
    <row r="6369" spans="1:2" hidden="1">
      <c r="A6369" s="187" t="str">
        <f t="shared" si="45"/>
        <v/>
      </c>
      <c r="B6369" s="187" t="str">
        <f t="shared" si="44"/>
        <v/>
      </c>
    </row>
    <row r="6370" spans="1:2" hidden="1">
      <c r="A6370" s="187" t="str">
        <f t="shared" si="45"/>
        <v/>
      </c>
      <c r="B6370" s="187" t="str">
        <f t="shared" si="44"/>
        <v/>
      </c>
    </row>
    <row r="6371" spans="1:2" hidden="1">
      <c r="A6371" s="187" t="str">
        <f t="shared" si="45"/>
        <v/>
      </c>
      <c r="B6371" s="187" t="str">
        <f t="shared" si="44"/>
        <v/>
      </c>
    </row>
    <row r="6372" spans="1:2" hidden="1">
      <c r="A6372" s="187" t="str">
        <f t="shared" si="45"/>
        <v/>
      </c>
      <c r="B6372" s="187" t="str">
        <f t="shared" si="44"/>
        <v/>
      </c>
    </row>
    <row r="6373" spans="1:2" hidden="1">
      <c r="A6373" s="187" t="str">
        <f t="shared" si="45"/>
        <v/>
      </c>
      <c r="B6373" s="187" t="str">
        <f t="shared" si="44"/>
        <v/>
      </c>
    </row>
    <row r="6374" spans="1:2" hidden="1">
      <c r="A6374" s="187" t="str">
        <f t="shared" si="45"/>
        <v/>
      </c>
      <c r="B6374" s="187" t="str">
        <f t="shared" si="44"/>
        <v/>
      </c>
    </row>
    <row r="6375" spans="1:2" hidden="1">
      <c r="A6375" s="187" t="str">
        <f t="shared" si="45"/>
        <v/>
      </c>
      <c r="B6375" s="187" t="str">
        <f t="shared" si="44"/>
        <v/>
      </c>
    </row>
    <row r="6376" spans="1:2" hidden="1">
      <c r="A6376" s="187" t="str">
        <f t="shared" si="45"/>
        <v/>
      </c>
      <c r="B6376" s="187" t="str">
        <f t="shared" si="44"/>
        <v/>
      </c>
    </row>
    <row r="6377" spans="1:2" hidden="1">
      <c r="A6377" s="187" t="str">
        <f t="shared" si="45"/>
        <v/>
      </c>
      <c r="B6377" s="187" t="str">
        <f t="shared" si="44"/>
        <v/>
      </c>
    </row>
    <row r="6378" spans="1:2" hidden="1">
      <c r="A6378" s="187" t="str">
        <f t="shared" si="45"/>
        <v/>
      </c>
      <c r="B6378" s="187" t="str">
        <f t="shared" si="44"/>
        <v/>
      </c>
    </row>
    <row r="6379" spans="1:2" hidden="1">
      <c r="A6379" s="187" t="str">
        <f t="shared" si="45"/>
        <v/>
      </c>
      <c r="B6379" s="187" t="str">
        <f t="shared" si="44"/>
        <v/>
      </c>
    </row>
    <row r="6380" spans="1:2" hidden="1">
      <c r="A6380" s="187" t="str">
        <f t="shared" si="45"/>
        <v/>
      </c>
      <c r="B6380" s="187" t="str">
        <f t="shared" si="44"/>
        <v/>
      </c>
    </row>
    <row r="6381" spans="1:2" hidden="1">
      <c r="A6381" s="187" t="str">
        <f t="shared" si="45"/>
        <v/>
      </c>
      <c r="B6381" s="187" t="str">
        <f t="shared" si="44"/>
        <v/>
      </c>
    </row>
    <row r="6382" spans="1:2" hidden="1">
      <c r="A6382" s="187" t="str">
        <f t="shared" si="45"/>
        <v/>
      </c>
      <c r="B6382" s="187" t="str">
        <f t="shared" si="44"/>
        <v/>
      </c>
    </row>
    <row r="6383" spans="1:2" hidden="1">
      <c r="A6383" s="187" t="str">
        <f t="shared" si="45"/>
        <v/>
      </c>
      <c r="B6383" s="187" t="str">
        <f t="shared" si="44"/>
        <v/>
      </c>
    </row>
    <row r="6384" spans="1:2" hidden="1">
      <c r="A6384" s="187" t="str">
        <f t="shared" si="45"/>
        <v/>
      </c>
      <c r="B6384" s="187" t="str">
        <f t="shared" si="44"/>
        <v/>
      </c>
    </row>
    <row r="6385" spans="1:2" hidden="1">
      <c r="A6385" s="187" t="str">
        <f t="shared" si="45"/>
        <v/>
      </c>
      <c r="B6385" s="187" t="str">
        <f t="shared" si="44"/>
        <v/>
      </c>
    </row>
    <row r="6386" spans="1:2" hidden="1">
      <c r="A6386" s="187" t="str">
        <f t="shared" si="45"/>
        <v/>
      </c>
      <c r="B6386" s="187" t="str">
        <f t="shared" si="44"/>
        <v/>
      </c>
    </row>
    <row r="6387" spans="1:2" hidden="1">
      <c r="A6387" s="187" t="str">
        <f t="shared" si="45"/>
        <v/>
      </c>
      <c r="B6387" s="187" t="str">
        <f t="shared" si="44"/>
        <v/>
      </c>
    </row>
    <row r="6388" spans="1:2" hidden="1">
      <c r="A6388" s="187" t="str">
        <f t="shared" si="45"/>
        <v/>
      </c>
      <c r="B6388" s="187" t="str">
        <f t="shared" si="44"/>
        <v/>
      </c>
    </row>
    <row r="6389" spans="1:2" hidden="1">
      <c r="A6389" s="187" t="str">
        <f t="shared" si="45"/>
        <v/>
      </c>
      <c r="B6389" s="187" t="str">
        <f t="shared" si="44"/>
        <v/>
      </c>
    </row>
    <row r="6390" spans="1:2" hidden="1">
      <c r="A6390" s="187" t="str">
        <f t="shared" si="45"/>
        <v/>
      </c>
      <c r="B6390" s="187" t="str">
        <f t="shared" si="44"/>
        <v/>
      </c>
    </row>
    <row r="6391" spans="1:2" hidden="1">
      <c r="A6391" s="187" t="str">
        <f t="shared" si="45"/>
        <v/>
      </c>
      <c r="B6391" s="187" t="str">
        <f t="shared" si="44"/>
        <v/>
      </c>
    </row>
    <row r="6392" spans="1:2" hidden="1">
      <c r="A6392" s="187" t="str">
        <f t="shared" si="45"/>
        <v/>
      </c>
      <c r="B6392" s="187" t="str">
        <f t="shared" si="44"/>
        <v/>
      </c>
    </row>
    <row r="6393" spans="1:2" hidden="1">
      <c r="A6393" s="187" t="str">
        <f t="shared" si="45"/>
        <v/>
      </c>
      <c r="B6393" s="187" t="str">
        <f t="shared" si="44"/>
        <v/>
      </c>
    </row>
    <row r="6394" spans="1:2" hidden="1">
      <c r="A6394" s="187" t="str">
        <f t="shared" si="45"/>
        <v/>
      </c>
      <c r="B6394" s="187" t="str">
        <f t="shared" si="44"/>
        <v/>
      </c>
    </row>
    <row r="6395" spans="1:2" hidden="1">
      <c r="A6395" s="187" t="str">
        <f t="shared" si="45"/>
        <v/>
      </c>
      <c r="B6395" s="187" t="str">
        <f t="shared" si="44"/>
        <v/>
      </c>
    </row>
    <row r="6396" spans="1:2" hidden="1">
      <c r="A6396" s="187" t="str">
        <f t="shared" si="45"/>
        <v/>
      </c>
      <c r="B6396" s="187" t="str">
        <f t="shared" si="44"/>
        <v/>
      </c>
    </row>
    <row r="6397" spans="1:2" hidden="1">
      <c r="A6397" s="187" t="str">
        <f t="shared" si="45"/>
        <v/>
      </c>
      <c r="B6397" s="187" t="str">
        <f t="shared" si="44"/>
        <v/>
      </c>
    </row>
    <row r="6398" spans="1:2" hidden="1">
      <c r="A6398" s="187" t="str">
        <f t="shared" si="45"/>
        <v/>
      </c>
      <c r="B6398" s="187" t="str">
        <f t="shared" si="44"/>
        <v/>
      </c>
    </row>
    <row r="6399" spans="1:2" hidden="1">
      <c r="A6399" s="187" t="str">
        <f t="shared" si="45"/>
        <v/>
      </c>
      <c r="B6399" s="187" t="str">
        <f t="shared" si="44"/>
        <v/>
      </c>
    </row>
    <row r="6400" spans="1:2" hidden="1">
      <c r="A6400" s="187" t="str">
        <f t="shared" si="45"/>
        <v/>
      </c>
      <c r="B6400" s="187" t="str">
        <f t="shared" si="44"/>
        <v/>
      </c>
    </row>
    <row r="6401" spans="1:2" hidden="1">
      <c r="A6401" s="187" t="str">
        <f t="shared" si="45"/>
        <v/>
      </c>
      <c r="B6401" s="187" t="str">
        <f t="shared" si="44"/>
        <v/>
      </c>
    </row>
    <row r="6402" spans="1:2" hidden="1">
      <c r="A6402" s="187" t="str">
        <f t="shared" si="45"/>
        <v/>
      </c>
      <c r="B6402" s="187" t="str">
        <f t="shared" si="44"/>
        <v/>
      </c>
    </row>
    <row r="6403" spans="1:2" hidden="1">
      <c r="A6403" s="187" t="str">
        <f t="shared" si="45"/>
        <v/>
      </c>
      <c r="B6403" s="187" t="str">
        <f t="shared" si="44"/>
        <v/>
      </c>
    </row>
    <row r="6404" spans="1:2" hidden="1">
      <c r="A6404" s="187" t="str">
        <f t="shared" si="45"/>
        <v/>
      </c>
      <c r="B6404" s="187" t="str">
        <f t="shared" si="44"/>
        <v/>
      </c>
    </row>
    <row r="6405" spans="1:2" hidden="1">
      <c r="A6405" s="187" t="str">
        <f t="shared" si="45"/>
        <v/>
      </c>
      <c r="B6405" s="187" t="str">
        <f t="shared" si="44"/>
        <v/>
      </c>
    </row>
    <row r="6406" spans="1:2" hidden="1">
      <c r="A6406" s="187" t="str">
        <f t="shared" si="45"/>
        <v/>
      </c>
      <c r="B6406" s="187" t="str">
        <f t="shared" si="44"/>
        <v/>
      </c>
    </row>
    <row r="6407" spans="1:2" hidden="1">
      <c r="A6407" s="187" t="str">
        <f t="shared" si="45"/>
        <v/>
      </c>
      <c r="B6407" s="187" t="str">
        <f t="shared" si="44"/>
        <v/>
      </c>
    </row>
    <row r="6408" spans="1:2" hidden="1">
      <c r="A6408" s="187" t="str">
        <f t="shared" si="45"/>
        <v/>
      </c>
      <c r="B6408" s="187" t="str">
        <f t="shared" si="44"/>
        <v/>
      </c>
    </row>
    <row r="6409" spans="1:2" hidden="1">
      <c r="A6409" s="187" t="str">
        <f t="shared" si="45"/>
        <v/>
      </c>
      <c r="B6409" s="187" t="str">
        <f t="shared" si="44"/>
        <v/>
      </c>
    </row>
    <row r="6410" spans="1:2" hidden="1">
      <c r="A6410" s="187" t="str">
        <f t="shared" si="45"/>
        <v/>
      </c>
      <c r="B6410" s="187" t="str">
        <f t="shared" si="44"/>
        <v/>
      </c>
    </row>
    <row r="6411" spans="1:2" hidden="1">
      <c r="A6411" s="187" t="str">
        <f t="shared" si="45"/>
        <v/>
      </c>
      <c r="B6411" s="187" t="str">
        <f t="shared" si="44"/>
        <v/>
      </c>
    </row>
    <row r="6412" spans="1:2" hidden="1">
      <c r="A6412" s="187" t="str">
        <f t="shared" si="45"/>
        <v/>
      </c>
      <c r="B6412" s="187" t="str">
        <f t="shared" si="44"/>
        <v/>
      </c>
    </row>
    <row r="6413" spans="1:2" hidden="1">
      <c r="A6413" s="187" t="str">
        <f t="shared" si="45"/>
        <v/>
      </c>
      <c r="B6413" s="187" t="str">
        <f t="shared" si="44"/>
        <v/>
      </c>
    </row>
    <row r="6414" spans="1:2" hidden="1">
      <c r="A6414" s="187" t="str">
        <f t="shared" si="45"/>
        <v/>
      </c>
      <c r="B6414" s="187" t="str">
        <f t="shared" si="44"/>
        <v/>
      </c>
    </row>
    <row r="6415" spans="1:2" hidden="1">
      <c r="A6415" s="187" t="str">
        <f t="shared" si="45"/>
        <v/>
      </c>
      <c r="B6415" s="187" t="str">
        <f t="shared" si="44"/>
        <v/>
      </c>
    </row>
    <row r="6416" spans="1:2" hidden="1">
      <c r="A6416" s="187" t="str">
        <f t="shared" si="45"/>
        <v/>
      </c>
      <c r="B6416" s="187" t="str">
        <f t="shared" si="44"/>
        <v/>
      </c>
    </row>
    <row r="6417" spans="1:2" hidden="1">
      <c r="A6417" s="187" t="str">
        <f t="shared" si="45"/>
        <v/>
      </c>
      <c r="B6417" s="187" t="str">
        <f t="shared" si="44"/>
        <v/>
      </c>
    </row>
    <row r="6418" spans="1:2" hidden="1">
      <c r="A6418" s="187" t="str">
        <f t="shared" si="45"/>
        <v/>
      </c>
      <c r="B6418" s="187" t="str">
        <f t="shared" si="44"/>
        <v/>
      </c>
    </row>
    <row r="6419" spans="1:2" hidden="1">
      <c r="A6419" s="187" t="str">
        <f t="shared" si="45"/>
        <v/>
      </c>
      <c r="B6419" s="187" t="str">
        <f t="shared" si="44"/>
        <v/>
      </c>
    </row>
    <row r="6420" spans="1:2" hidden="1">
      <c r="A6420" s="187" t="str">
        <f t="shared" si="45"/>
        <v/>
      </c>
      <c r="B6420" s="187" t="str">
        <f t="shared" si="44"/>
        <v/>
      </c>
    </row>
    <row r="6421" spans="1:2" hidden="1">
      <c r="A6421" s="187" t="str">
        <f t="shared" si="45"/>
        <v/>
      </c>
      <c r="B6421" s="187" t="str">
        <f t="shared" si="44"/>
        <v/>
      </c>
    </row>
    <row r="6422" spans="1:2" hidden="1">
      <c r="A6422" s="187" t="str">
        <f t="shared" si="45"/>
        <v/>
      </c>
      <c r="B6422" s="187" t="str">
        <f t="shared" si="44"/>
        <v/>
      </c>
    </row>
    <row r="6423" spans="1:2" hidden="1">
      <c r="A6423" s="187" t="str">
        <f t="shared" si="45"/>
        <v/>
      </c>
      <c r="B6423" s="187" t="str">
        <f t="shared" si="44"/>
        <v/>
      </c>
    </row>
    <row r="6424" spans="1:2" hidden="1">
      <c r="A6424" s="187" t="str">
        <f t="shared" si="45"/>
        <v/>
      </c>
      <c r="B6424" s="187" t="str">
        <f t="shared" si="44"/>
        <v/>
      </c>
    </row>
    <row r="6425" spans="1:2" hidden="1">
      <c r="A6425" s="187" t="str">
        <f t="shared" si="45"/>
        <v/>
      </c>
      <c r="B6425" s="187" t="str">
        <f t="shared" si="44"/>
        <v/>
      </c>
    </row>
    <row r="6426" spans="1:2" hidden="1">
      <c r="A6426" s="187" t="str">
        <f t="shared" si="45"/>
        <v/>
      </c>
      <c r="B6426" s="187" t="str">
        <f t="shared" si="44"/>
        <v/>
      </c>
    </row>
    <row r="6427" spans="1:2" hidden="1">
      <c r="A6427" s="187" t="str">
        <f t="shared" si="45"/>
        <v/>
      </c>
      <c r="B6427" s="187" t="str">
        <f t="shared" si="44"/>
        <v/>
      </c>
    </row>
    <row r="6428" spans="1:2" hidden="1">
      <c r="A6428" s="187" t="str">
        <f t="shared" si="45"/>
        <v/>
      </c>
      <c r="B6428" s="187" t="str">
        <f t="shared" ref="B6428:B6447" si="46">HYPERLINK("http://tw.stock.yahoo.com/d/s/earning_.html","")</f>
        <v/>
      </c>
    </row>
    <row r="6429" spans="1:2" hidden="1">
      <c r="A6429" s="187" t="str">
        <f t="shared" si="45"/>
        <v/>
      </c>
      <c r="B6429" s="187" t="str">
        <f t="shared" si="46"/>
        <v/>
      </c>
    </row>
    <row r="6430" spans="1:2" hidden="1">
      <c r="A6430" s="187" t="str">
        <f t="shared" si="45"/>
        <v/>
      </c>
      <c r="B6430" s="187" t="str">
        <f t="shared" si="46"/>
        <v/>
      </c>
    </row>
    <row r="6431" spans="1:2" hidden="1">
      <c r="A6431" s="187" t="str">
        <f t="shared" ref="A6431:A6448" si="47">HYPERLINK("http://tw.stock.yahoo.com/q/ta?s=","")</f>
        <v/>
      </c>
      <c r="B6431" s="187" t="str">
        <f t="shared" si="46"/>
        <v/>
      </c>
    </row>
    <row r="6432" spans="1:2" hidden="1">
      <c r="A6432" s="187" t="str">
        <f t="shared" si="47"/>
        <v/>
      </c>
      <c r="B6432" s="187" t="str">
        <f t="shared" si="46"/>
        <v/>
      </c>
    </row>
    <row r="6433" spans="1:2" hidden="1">
      <c r="A6433" s="187" t="str">
        <f t="shared" si="47"/>
        <v/>
      </c>
      <c r="B6433" s="187" t="str">
        <f t="shared" si="46"/>
        <v/>
      </c>
    </row>
    <row r="6434" spans="1:2" hidden="1">
      <c r="A6434" s="187" t="str">
        <f t="shared" si="47"/>
        <v/>
      </c>
      <c r="B6434" s="187" t="str">
        <f t="shared" si="46"/>
        <v/>
      </c>
    </row>
    <row r="6435" spans="1:2" hidden="1">
      <c r="A6435" s="187" t="str">
        <f t="shared" si="47"/>
        <v/>
      </c>
      <c r="B6435" s="187" t="str">
        <f t="shared" si="46"/>
        <v/>
      </c>
    </row>
    <row r="6436" spans="1:2" hidden="1">
      <c r="A6436" s="187" t="str">
        <f t="shared" si="47"/>
        <v/>
      </c>
      <c r="B6436" s="187" t="str">
        <f t="shared" si="46"/>
        <v/>
      </c>
    </row>
    <row r="6437" spans="1:2" hidden="1">
      <c r="A6437" s="187" t="str">
        <f t="shared" si="47"/>
        <v/>
      </c>
      <c r="B6437" s="187" t="str">
        <f t="shared" si="46"/>
        <v/>
      </c>
    </row>
    <row r="6438" spans="1:2" hidden="1">
      <c r="A6438" s="187" t="str">
        <f t="shared" si="47"/>
        <v/>
      </c>
      <c r="B6438" s="187" t="str">
        <f t="shared" si="46"/>
        <v/>
      </c>
    </row>
    <row r="6439" spans="1:2" hidden="1">
      <c r="A6439" s="187" t="str">
        <f t="shared" si="47"/>
        <v/>
      </c>
      <c r="B6439" s="187" t="str">
        <f t="shared" si="46"/>
        <v/>
      </c>
    </row>
    <row r="6440" spans="1:2" hidden="1">
      <c r="A6440" s="187" t="str">
        <f t="shared" si="47"/>
        <v/>
      </c>
      <c r="B6440" s="187" t="str">
        <f t="shared" si="46"/>
        <v/>
      </c>
    </row>
    <row r="6441" spans="1:2" hidden="1">
      <c r="A6441" s="187" t="str">
        <f t="shared" si="47"/>
        <v/>
      </c>
      <c r="B6441" s="187" t="str">
        <f t="shared" si="46"/>
        <v/>
      </c>
    </row>
    <row r="6442" spans="1:2" hidden="1">
      <c r="A6442" s="187" t="str">
        <f t="shared" si="47"/>
        <v/>
      </c>
      <c r="B6442" s="187" t="str">
        <f t="shared" si="46"/>
        <v/>
      </c>
    </row>
    <row r="6443" spans="1:2" hidden="1">
      <c r="A6443" s="187" t="str">
        <f t="shared" si="47"/>
        <v/>
      </c>
      <c r="B6443" s="187" t="str">
        <f t="shared" si="46"/>
        <v/>
      </c>
    </row>
    <row r="6444" spans="1:2" hidden="1">
      <c r="A6444" s="187" t="str">
        <f t="shared" si="47"/>
        <v/>
      </c>
      <c r="B6444" s="187" t="str">
        <f t="shared" si="46"/>
        <v/>
      </c>
    </row>
    <row r="6445" spans="1:2" hidden="1">
      <c r="A6445" s="187" t="str">
        <f t="shared" si="47"/>
        <v/>
      </c>
      <c r="B6445" s="187" t="str">
        <f t="shared" si="46"/>
        <v/>
      </c>
    </row>
    <row r="6446" spans="1:2" hidden="1">
      <c r="A6446" s="187" t="str">
        <f t="shared" si="47"/>
        <v/>
      </c>
      <c r="B6446" s="187" t="str">
        <f t="shared" si="46"/>
        <v/>
      </c>
    </row>
    <row r="6447" spans="1:2" hidden="1">
      <c r="A6447" s="187" t="str">
        <f t="shared" si="47"/>
        <v/>
      </c>
      <c r="B6447" s="187" t="str">
        <f t="shared" si="46"/>
        <v/>
      </c>
    </row>
    <row r="6448" spans="1:2" hidden="1">
      <c r="A6448" s="187" t="str">
        <f t="shared" si="47"/>
        <v/>
      </c>
    </row>
  </sheetData>
  <autoFilter ref="A1:K6448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3:K651">
    <sortCondition descending="1" ref="J2:J20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1495" sqref="D1495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0" customWidth="1"/>
    <col min="4" max="4" width="19.75" style="157" bestFit="1" customWidth="1"/>
    <col min="5" max="5" width="12.625" style="53" customWidth="1"/>
    <col min="6" max="6" width="14.375" style="160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2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246</v>
      </c>
      <c r="B1" s="56" t="s">
        <v>224</v>
      </c>
      <c r="C1" s="158" t="s">
        <v>243</v>
      </c>
      <c r="D1" s="57" t="s">
        <v>245</v>
      </c>
      <c r="E1" s="55" t="s">
        <v>1898</v>
      </c>
      <c r="F1" s="158" t="s">
        <v>1896</v>
      </c>
      <c r="G1" s="57" t="s">
        <v>244</v>
      </c>
      <c r="H1" s="57" t="s">
        <v>1895</v>
      </c>
      <c r="I1" s="66" t="s">
        <v>539</v>
      </c>
      <c r="J1" s="161" t="s">
        <v>1897</v>
      </c>
      <c r="N1" s="26">
        <f>AVERAGEA(I:I)</f>
        <v>1.6981681794576058</v>
      </c>
      <c r="O1" s="320"/>
    </row>
    <row r="2" spans="1:30" hidden="1">
      <c r="A2" s="64">
        <v>1213</v>
      </c>
      <c r="B2" s="150">
        <v>0.35</v>
      </c>
      <c r="C2" s="159">
        <v>0</v>
      </c>
      <c r="D2" s="152">
        <v>0</v>
      </c>
      <c r="E2" s="26">
        <f>VLOOKUP(1213,季財報!$A:$H,8,0)</f>
        <v>4</v>
      </c>
      <c r="F2" s="159">
        <v>5.8666666666666673E-2</v>
      </c>
      <c r="G2" s="152">
        <v>0</v>
      </c>
      <c r="H2" s="152">
        <v>731076000</v>
      </c>
      <c r="I2" s="150">
        <v>0</v>
      </c>
      <c r="J2" s="152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0">
        <v>0.01</v>
      </c>
      <c r="C3" s="159">
        <v>0</v>
      </c>
      <c r="D3" s="152">
        <v>0</v>
      </c>
      <c r="E3" s="26">
        <f>VLOOKUP(1439,季財報!$A:$H,8,0)</f>
        <v>0</v>
      </c>
      <c r="F3" s="159">
        <v>0.15881666666666669</v>
      </c>
      <c r="G3" s="152">
        <v>0</v>
      </c>
      <c r="H3" s="152">
        <v>389803000</v>
      </c>
      <c r="I3" s="150">
        <v>0</v>
      </c>
      <c r="J3" s="152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1615</v>
      </c>
      <c r="B4" s="150">
        <v>0.16</v>
      </c>
      <c r="C4" s="159">
        <v>0</v>
      </c>
      <c r="D4" s="152">
        <v>0</v>
      </c>
      <c r="E4" s="26">
        <f>VLOOKUP(1615,季財報!$A:$H,8,0)</f>
        <v>2</v>
      </c>
      <c r="F4" s="159">
        <v>-2.8333333333333357E-3</v>
      </c>
      <c r="G4" s="152">
        <v>0</v>
      </c>
      <c r="H4" s="152">
        <v>2447313000</v>
      </c>
      <c r="I4" s="150">
        <v>0</v>
      </c>
      <c r="J4" s="152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1781</v>
      </c>
      <c r="B5" s="150">
        <v>0.01</v>
      </c>
      <c r="C5" s="159">
        <v>0</v>
      </c>
      <c r="D5" s="152">
        <v>0</v>
      </c>
      <c r="E5" s="26">
        <f>VLOOKUP(1781,季財報!$A:$H,8,0)</f>
        <v>4</v>
      </c>
      <c r="F5" s="159">
        <v>1.8025000000000006E-2</v>
      </c>
      <c r="G5" s="152">
        <v>0</v>
      </c>
      <c r="H5" s="152">
        <v>675036000</v>
      </c>
      <c r="I5" s="150">
        <v>0</v>
      </c>
      <c r="J5" s="152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2230</v>
      </c>
      <c r="B6" s="150">
        <v>0.28999999999999998</v>
      </c>
      <c r="C6" s="159">
        <v>0</v>
      </c>
      <c r="D6" s="152">
        <v>0</v>
      </c>
      <c r="E6" s="26">
        <f>VLOOKUP(2230,季財報!$A:$H,8,0)</f>
        <v>1</v>
      </c>
      <c r="F6" s="159">
        <v>-1.0991666666666672E-2</v>
      </c>
      <c r="G6" s="152">
        <v>0</v>
      </c>
      <c r="H6" s="152">
        <v>357029000</v>
      </c>
      <c r="I6" s="150">
        <v>0</v>
      </c>
      <c r="J6" s="152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2302</v>
      </c>
      <c r="B7" s="150">
        <v>0.11</v>
      </c>
      <c r="C7" s="159">
        <v>0</v>
      </c>
      <c r="D7" s="152">
        <v>0</v>
      </c>
      <c r="E7" s="26">
        <f>VLOOKUP(2302,季財報!$A:$H,8,0)</f>
        <v>2</v>
      </c>
      <c r="F7" s="159">
        <v>1.7233333333333333E-2</v>
      </c>
      <c r="G7" s="152">
        <v>0</v>
      </c>
      <c r="H7" s="152">
        <v>512513000</v>
      </c>
      <c r="I7" s="150">
        <v>0</v>
      </c>
      <c r="J7" s="152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2348</v>
      </c>
      <c r="B8" s="150">
        <v>0.53</v>
      </c>
      <c r="C8" s="159">
        <v>1</v>
      </c>
      <c r="D8" s="152">
        <v>84905660.377358481</v>
      </c>
      <c r="E8" s="26">
        <f>VLOOKUP(2348,季財報!$A:$H,8,0)</f>
        <v>2</v>
      </c>
      <c r="F8" s="159">
        <v>3.175000000000002E-3</v>
      </c>
      <c r="G8" s="152">
        <v>0</v>
      </c>
      <c r="H8" s="152">
        <v>1029688000</v>
      </c>
      <c r="I8" s="150">
        <v>0</v>
      </c>
      <c r="J8" s="152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2467</v>
      </c>
      <c r="B9" s="150">
        <v>0</v>
      </c>
      <c r="C9" s="159">
        <v>0</v>
      </c>
      <c r="D9" s="152">
        <v>0</v>
      </c>
      <c r="E9" s="26">
        <f>VLOOKUP(2467,季財報!$A:$H,8,0)</f>
        <v>0</v>
      </c>
      <c r="F9" s="159">
        <v>0.15360833333333332</v>
      </c>
      <c r="G9" s="152">
        <v>0</v>
      </c>
      <c r="H9" s="152">
        <v>3398801000</v>
      </c>
      <c r="I9" s="150">
        <v>0</v>
      </c>
      <c r="J9" s="152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2611</v>
      </c>
      <c r="B10" s="150">
        <v>0.18</v>
      </c>
      <c r="C10" s="159">
        <v>0</v>
      </c>
      <c r="D10" s="152">
        <v>0</v>
      </c>
      <c r="E10" s="26">
        <f>VLOOKUP(2611,季財報!$A:$H,8,0)</f>
        <v>2</v>
      </c>
      <c r="F10" s="159">
        <v>1.0366666666666668E-2</v>
      </c>
      <c r="G10" s="152">
        <v>0</v>
      </c>
      <c r="H10" s="152">
        <v>1373325000</v>
      </c>
      <c r="I10" s="150">
        <v>0</v>
      </c>
      <c r="J10" s="152">
        <v>0</v>
      </c>
      <c r="N10" s="32"/>
      <c r="O10" s="32"/>
      <c r="P10" s="153"/>
      <c r="Q10" s="154"/>
      <c r="R10" s="153"/>
      <c r="S10" s="154"/>
      <c r="T10" s="153"/>
      <c r="U10" s="154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2712</v>
      </c>
      <c r="B11" s="150">
        <v>0.43</v>
      </c>
      <c r="C11" s="159">
        <v>0.96825396825396826</v>
      </c>
      <c r="D11" s="152">
        <v>106976744.18604651</v>
      </c>
      <c r="E11" s="26">
        <f>VLOOKUP(2712,季財報!$A:$H,8,0)</f>
        <v>2</v>
      </c>
      <c r="F11" s="159">
        <v>4.9908333333333325E-2</v>
      </c>
      <c r="G11" s="152">
        <v>0</v>
      </c>
      <c r="H11" s="152">
        <v>556996000</v>
      </c>
      <c r="I11" s="150">
        <v>0</v>
      </c>
      <c r="J11" s="152">
        <v>0</v>
      </c>
      <c r="N11" s="32"/>
      <c r="O11" s="32"/>
      <c r="P11" s="153"/>
      <c r="Q11" s="154"/>
      <c r="R11" s="153"/>
      <c r="S11" s="154"/>
      <c r="T11" s="153"/>
      <c r="U11" s="154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3219</v>
      </c>
      <c r="B12" s="150">
        <v>0.12</v>
      </c>
      <c r="C12" s="159">
        <v>0</v>
      </c>
      <c r="D12" s="152">
        <v>0</v>
      </c>
      <c r="E12" s="26">
        <f>VLOOKUP(3219,季財報!$A:$H,8,0)</f>
        <v>1</v>
      </c>
      <c r="F12" s="159">
        <v>7.738333333333336E-2</v>
      </c>
      <c r="G12" s="152">
        <v>0</v>
      </c>
      <c r="H12" s="152">
        <v>182940000</v>
      </c>
      <c r="I12" s="150">
        <v>0</v>
      </c>
      <c r="J12" s="152">
        <v>0</v>
      </c>
      <c r="N12" s="32"/>
      <c r="O12" s="32"/>
      <c r="P12" s="153"/>
      <c r="Q12" s="154"/>
      <c r="R12" s="153"/>
      <c r="S12" s="154"/>
      <c r="T12" s="153"/>
      <c r="U12" s="154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3221</v>
      </c>
      <c r="B13" s="150">
        <v>0.57999999999999996</v>
      </c>
      <c r="C13" s="159">
        <v>0</v>
      </c>
      <c r="D13" s="152">
        <v>0</v>
      </c>
      <c r="E13" s="26">
        <f>VLOOKUP(3221,季財報!$A:$H,8,0)</f>
        <v>4</v>
      </c>
      <c r="F13" s="159">
        <v>2.6375000000000006E-2</v>
      </c>
      <c r="G13" s="152">
        <v>0</v>
      </c>
      <c r="H13" s="152">
        <v>1712721000</v>
      </c>
      <c r="I13" s="150">
        <v>0</v>
      </c>
      <c r="J13" s="152">
        <v>0</v>
      </c>
      <c r="N13" s="32"/>
      <c r="O13" s="32"/>
      <c r="P13" s="153"/>
      <c r="Q13" s="154"/>
      <c r="R13" s="153"/>
      <c r="S13" s="154"/>
      <c r="T13" s="153"/>
      <c r="U13" s="154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3332</v>
      </c>
      <c r="B14" s="150">
        <v>0.84</v>
      </c>
      <c r="C14" s="159">
        <v>0.7</v>
      </c>
      <c r="D14" s="152">
        <v>48809523.809523813</v>
      </c>
      <c r="E14" s="26">
        <f>VLOOKUP(3332,季財報!$A:$H,8,0)</f>
        <v>4</v>
      </c>
      <c r="F14" s="159">
        <v>2.2233333333333338E-2</v>
      </c>
      <c r="G14" s="152">
        <v>0</v>
      </c>
      <c r="H14" s="152">
        <v>1139653000</v>
      </c>
      <c r="I14" s="150">
        <v>0</v>
      </c>
      <c r="J14" s="152">
        <v>0</v>
      </c>
      <c r="N14" s="32"/>
      <c r="O14" s="32"/>
      <c r="P14" s="153"/>
      <c r="Q14" s="154"/>
      <c r="R14" s="153"/>
      <c r="S14" s="154"/>
      <c r="T14" s="153"/>
      <c r="U14" s="154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3372</v>
      </c>
      <c r="B15" s="150">
        <v>0</v>
      </c>
      <c r="C15" s="159">
        <v>0</v>
      </c>
      <c r="D15" s="152">
        <v>0</v>
      </c>
      <c r="E15" s="26">
        <f>VLOOKUP(3372,季財報!$A:$H,8,0)</f>
        <v>4</v>
      </c>
      <c r="F15" s="159">
        <v>-1.2000000000000003E-3</v>
      </c>
      <c r="G15" s="152">
        <v>0</v>
      </c>
      <c r="H15" s="152">
        <v>1860318000</v>
      </c>
      <c r="I15" s="150">
        <v>0</v>
      </c>
      <c r="J15" s="152">
        <v>0</v>
      </c>
      <c r="N15" s="32"/>
      <c r="O15" s="32"/>
      <c r="P15" s="153"/>
      <c r="Q15" s="154"/>
      <c r="R15" s="153"/>
      <c r="S15" s="154"/>
      <c r="T15" s="153"/>
      <c r="U15" s="154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3380</v>
      </c>
      <c r="B16" s="150">
        <v>-0.65</v>
      </c>
      <c r="C16" s="159">
        <v>0</v>
      </c>
      <c r="D16" s="152">
        <v>0</v>
      </c>
      <c r="E16" s="26">
        <f>VLOOKUP(3380,季財報!$A:$H,8,0)</f>
        <v>0</v>
      </c>
      <c r="F16" s="159">
        <v>2.015833333333333E-2</v>
      </c>
      <c r="G16" s="152">
        <v>0</v>
      </c>
      <c r="H16" s="152">
        <v>23322496000</v>
      </c>
      <c r="I16" s="150">
        <v>0</v>
      </c>
      <c r="J16" s="152">
        <v>0</v>
      </c>
      <c r="N16" s="32"/>
      <c r="O16" s="32"/>
      <c r="P16" s="153"/>
      <c r="Q16" s="154"/>
      <c r="R16" s="153"/>
      <c r="S16" s="154"/>
      <c r="T16" s="153"/>
      <c r="U16" s="154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3499</v>
      </c>
      <c r="B17" s="150">
        <v>0.3</v>
      </c>
      <c r="C17" s="159">
        <v>0</v>
      </c>
      <c r="D17" s="152">
        <v>0</v>
      </c>
      <c r="E17" s="26">
        <f>VLOOKUP(3499,季財報!$A:$H,8,0)</f>
        <v>5</v>
      </c>
      <c r="F17" s="159">
        <v>4.9974999999999999E-2</v>
      </c>
      <c r="G17" s="152">
        <v>0</v>
      </c>
      <c r="H17" s="152">
        <v>631556000</v>
      </c>
      <c r="I17" s="150">
        <v>0</v>
      </c>
      <c r="J17" s="152">
        <v>0</v>
      </c>
      <c r="N17" s="32"/>
      <c r="O17" s="32"/>
      <c r="P17" s="153"/>
      <c r="Q17" s="154"/>
      <c r="R17" s="153"/>
      <c r="S17" s="154"/>
      <c r="T17" s="153"/>
      <c r="U17" s="154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4174</v>
      </c>
      <c r="B18" s="52">
        <v>-0.79</v>
      </c>
      <c r="C18" s="160">
        <v>1</v>
      </c>
      <c r="D18" s="157">
        <v>169620253.16455695</v>
      </c>
      <c r="E18" s="26">
        <f>VLOOKUP(4174,季財報!$A:$H,8,0)</f>
        <v>1</v>
      </c>
      <c r="F18" s="160">
        <v>0</v>
      </c>
      <c r="G18" s="54">
        <v>126027848101.26581</v>
      </c>
      <c r="H18" s="54">
        <v>0</v>
      </c>
      <c r="I18" s="65">
        <v>0</v>
      </c>
      <c r="J18" s="162">
        <v>0</v>
      </c>
      <c r="N18" s="32"/>
      <c r="O18" s="32"/>
      <c r="P18" s="153"/>
      <c r="Q18" s="154"/>
      <c r="R18" s="153"/>
      <c r="S18" s="154"/>
      <c r="T18" s="153"/>
      <c r="U18" s="154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4406</v>
      </c>
      <c r="B19" s="52">
        <v>0</v>
      </c>
      <c r="C19" s="160">
        <v>0</v>
      </c>
      <c r="D19" s="157">
        <v>0</v>
      </c>
      <c r="E19" s="26">
        <f>VLOOKUP(4406,季財報!$A:$H,8,0)</f>
        <v>1</v>
      </c>
      <c r="F19" s="160">
        <v>5.8583333333333308E-3</v>
      </c>
      <c r="G19" s="54">
        <v>0</v>
      </c>
      <c r="H19" s="54">
        <v>761692000</v>
      </c>
      <c r="I19" s="65">
        <v>0</v>
      </c>
      <c r="J19" s="162">
        <v>0</v>
      </c>
      <c r="N19" s="32"/>
      <c r="O19" s="32"/>
      <c r="P19" s="153"/>
      <c r="Q19" s="154"/>
      <c r="R19" s="153"/>
      <c r="S19" s="154"/>
      <c r="T19" s="153"/>
      <c r="U19" s="154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4413</v>
      </c>
      <c r="B20" s="52">
        <v>0.4</v>
      </c>
      <c r="C20" s="160">
        <v>0</v>
      </c>
      <c r="D20" s="157">
        <v>0</v>
      </c>
      <c r="E20" s="26">
        <f>VLOOKUP(4413,季財報!$A:$H,8,0)</f>
        <v>4</v>
      </c>
      <c r="F20" s="160">
        <v>0.38787499999999997</v>
      </c>
      <c r="G20" s="54">
        <v>0</v>
      </c>
      <c r="H20" s="54">
        <v>211929000</v>
      </c>
      <c r="I20" s="65">
        <v>0</v>
      </c>
      <c r="J20" s="162">
        <v>0</v>
      </c>
      <c r="N20" s="32"/>
      <c r="O20" s="32"/>
      <c r="P20" s="153"/>
      <c r="Q20" s="154"/>
      <c r="R20" s="153"/>
      <c r="S20" s="154"/>
      <c r="T20" s="153"/>
      <c r="U20" s="154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4416</v>
      </c>
      <c r="B21" s="52">
        <v>-0.03</v>
      </c>
      <c r="C21" s="160">
        <v>1</v>
      </c>
      <c r="D21" s="157">
        <v>66666666.666666672</v>
      </c>
      <c r="E21" s="26">
        <f>VLOOKUP(4416,季財報!$A:$H,8,0)</f>
        <v>0</v>
      </c>
      <c r="F21" s="160">
        <v>12.878374999999998</v>
      </c>
      <c r="G21" s="54">
        <v>0</v>
      </c>
      <c r="H21" s="54">
        <v>1751538000</v>
      </c>
      <c r="I21" s="65">
        <v>0</v>
      </c>
      <c r="J21" s="162">
        <v>0</v>
      </c>
      <c r="N21" s="32"/>
      <c r="O21" s="32"/>
      <c r="P21" s="153"/>
      <c r="Q21" s="154"/>
      <c r="R21" s="153"/>
      <c r="S21" s="154"/>
      <c r="T21" s="153"/>
      <c r="U21" s="154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4930</v>
      </c>
      <c r="B22" s="52">
        <v>0</v>
      </c>
      <c r="C22" s="160">
        <v>0</v>
      </c>
      <c r="D22" s="157">
        <v>0</v>
      </c>
      <c r="E22" s="26">
        <f>VLOOKUP(4930,季財報!$A:$H,8,0)</f>
        <v>3</v>
      </c>
      <c r="F22" s="160">
        <v>6.8916666666666666E-3</v>
      </c>
      <c r="G22" s="54">
        <v>0</v>
      </c>
      <c r="H22" s="54">
        <v>14107504000</v>
      </c>
      <c r="I22" s="65">
        <v>0</v>
      </c>
      <c r="J22" s="162">
        <v>0</v>
      </c>
      <c r="N22" s="32"/>
      <c r="O22" s="32"/>
      <c r="P22" s="153"/>
      <c r="Q22" s="154"/>
      <c r="R22" s="153"/>
      <c r="S22" s="154"/>
      <c r="T22" s="153"/>
      <c r="U22" s="154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5348</v>
      </c>
      <c r="B23" s="52">
        <v>0.11</v>
      </c>
      <c r="C23" s="160">
        <v>1</v>
      </c>
      <c r="D23" s="157">
        <v>27272727.272727273</v>
      </c>
      <c r="E23" s="26">
        <f>VLOOKUP(5348,季財報!$A:$H,8,0)</f>
        <v>5</v>
      </c>
      <c r="F23" s="160">
        <v>9.0191666666666656E-2</v>
      </c>
      <c r="G23" s="54">
        <v>0</v>
      </c>
      <c r="H23" s="54">
        <v>208653000</v>
      </c>
      <c r="I23" s="65">
        <v>0</v>
      </c>
      <c r="J23" s="162">
        <v>0</v>
      </c>
      <c r="N23" s="32"/>
      <c r="O23" s="32"/>
      <c r="P23" s="153"/>
      <c r="Q23" s="154"/>
      <c r="R23" s="153"/>
      <c r="S23" s="154"/>
      <c r="T23" s="153"/>
      <c r="U23" s="154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5426</v>
      </c>
      <c r="B24" s="52">
        <v>0.27</v>
      </c>
      <c r="C24" s="160">
        <v>0</v>
      </c>
      <c r="D24" s="157">
        <v>0</v>
      </c>
      <c r="E24" s="26">
        <f>VLOOKUP(5426,季財報!$A:$H,8,0)</f>
        <v>2</v>
      </c>
      <c r="F24" s="160">
        <v>4.5166666666666645E-3</v>
      </c>
      <c r="G24" s="54">
        <v>0</v>
      </c>
      <c r="H24" s="54">
        <v>1630400000</v>
      </c>
      <c r="I24" s="65">
        <v>0</v>
      </c>
      <c r="J24" s="162">
        <v>0</v>
      </c>
      <c r="N24" s="32"/>
      <c r="O24" s="32"/>
      <c r="P24" s="153"/>
      <c r="Q24" s="32"/>
      <c r="R24" s="153"/>
      <c r="S24" s="154"/>
      <c r="T24" s="153"/>
      <c r="U24" s="154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6130</v>
      </c>
      <c r="B25" s="52">
        <v>-0.28999999999999998</v>
      </c>
      <c r="C25" s="160">
        <v>0</v>
      </c>
      <c r="D25" s="157">
        <v>0</v>
      </c>
      <c r="E25" s="26">
        <f>VLOOKUP(6130,季財報!$A:$H,8,0)</f>
        <v>2</v>
      </c>
      <c r="F25" s="160">
        <v>-1.6933333333333338E-2</v>
      </c>
      <c r="G25" s="54">
        <v>0</v>
      </c>
      <c r="H25" s="54">
        <v>248784000</v>
      </c>
      <c r="I25" s="65">
        <v>0</v>
      </c>
      <c r="J25" s="162">
        <v>0</v>
      </c>
      <c r="N25" s="32"/>
      <c r="O25" s="32"/>
      <c r="P25" s="153"/>
      <c r="Q25" s="154"/>
      <c r="R25" s="153"/>
      <c r="S25" s="154"/>
      <c r="T25" s="153"/>
      <c r="U25" s="154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6144</v>
      </c>
      <c r="B26" s="52">
        <v>-0.06</v>
      </c>
      <c r="C26" s="160">
        <v>0.8571428571428571</v>
      </c>
      <c r="D26" s="157">
        <v>66666666.666666672</v>
      </c>
      <c r="E26" s="26">
        <f>VLOOKUP(6144,季財報!$A:$H,8,0)</f>
        <v>2</v>
      </c>
      <c r="F26" s="160">
        <v>4.1608333333333337E-2</v>
      </c>
      <c r="G26" s="54">
        <v>0</v>
      </c>
      <c r="H26" s="54">
        <v>786120000</v>
      </c>
      <c r="I26" s="65">
        <v>0</v>
      </c>
      <c r="J26" s="162">
        <v>0</v>
      </c>
      <c r="N26" s="32"/>
      <c r="O26" s="32"/>
      <c r="P26" s="153"/>
      <c r="Q26" s="154"/>
      <c r="R26" s="153"/>
      <c r="S26" s="154"/>
      <c r="T26" s="153"/>
      <c r="U26" s="154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6199</v>
      </c>
      <c r="B27" s="52">
        <v>-0.05</v>
      </c>
      <c r="C27" s="160">
        <v>0</v>
      </c>
      <c r="D27" s="157">
        <v>60000000</v>
      </c>
      <c r="E27" s="26">
        <f>VLOOKUP(6199,季財報!$A:$H,8,0)</f>
        <v>2</v>
      </c>
      <c r="F27" s="160">
        <v>8.9416666666666655E-3</v>
      </c>
      <c r="G27" s="54">
        <v>0</v>
      </c>
      <c r="H27" s="54">
        <v>73519000</v>
      </c>
      <c r="I27" s="65">
        <v>0</v>
      </c>
      <c r="J27" s="162">
        <v>0</v>
      </c>
      <c r="N27" s="32"/>
      <c r="O27" s="32"/>
      <c r="P27" s="153"/>
      <c r="Q27" s="154"/>
      <c r="R27" s="153"/>
      <c r="S27" s="154"/>
      <c r="T27" s="153"/>
      <c r="U27" s="154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6211</v>
      </c>
      <c r="B28" s="52">
        <v>0.72</v>
      </c>
      <c r="C28" s="160">
        <v>0</v>
      </c>
      <c r="D28" s="157">
        <v>0</v>
      </c>
      <c r="E28" s="26">
        <f>VLOOKUP(6211,季財報!$A:$H,8,0)</f>
        <v>4</v>
      </c>
      <c r="F28" s="160">
        <v>0.11809166666666669</v>
      </c>
      <c r="G28" s="54">
        <v>0</v>
      </c>
      <c r="H28" s="54">
        <v>305988000</v>
      </c>
      <c r="I28" s="65">
        <v>0</v>
      </c>
      <c r="J28" s="162">
        <v>0</v>
      </c>
      <c r="N28" s="32"/>
      <c r="O28" s="32"/>
      <c r="P28" s="153"/>
      <c r="Q28" s="154"/>
      <c r="R28" s="153"/>
      <c r="S28" s="154"/>
      <c r="T28" s="153"/>
      <c r="U28" s="154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6218</v>
      </c>
      <c r="B29" s="52">
        <v>0.67</v>
      </c>
      <c r="C29" s="160">
        <v>0</v>
      </c>
      <c r="D29" s="157">
        <v>0</v>
      </c>
      <c r="E29" s="26">
        <f>VLOOKUP(6218,季財報!$A:$H,8,0)</f>
        <v>2</v>
      </c>
      <c r="F29" s="160">
        <v>2.8966666666666665E-2</v>
      </c>
      <c r="G29" s="54">
        <v>0</v>
      </c>
      <c r="H29" s="54">
        <v>1011589000</v>
      </c>
      <c r="I29" s="65">
        <v>0</v>
      </c>
      <c r="J29" s="162">
        <v>0</v>
      </c>
      <c r="N29" s="32"/>
      <c r="O29" s="32"/>
      <c r="P29" s="153"/>
      <c r="Q29" s="32"/>
      <c r="R29" s="153"/>
      <c r="S29" s="154"/>
      <c r="T29" s="153"/>
      <c r="U29" s="154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6229</v>
      </c>
      <c r="B30" s="52">
        <v>0.19</v>
      </c>
      <c r="C30" s="160">
        <v>0</v>
      </c>
      <c r="D30" s="157">
        <v>0</v>
      </c>
      <c r="E30" s="26">
        <f>VLOOKUP(6229,季財報!$A:$H,8,0)</f>
        <v>5</v>
      </c>
      <c r="F30" s="160">
        <v>0.10209166666666669</v>
      </c>
      <c r="G30" s="54">
        <v>0</v>
      </c>
      <c r="H30" s="54">
        <v>907878000</v>
      </c>
      <c r="I30" s="65">
        <v>0</v>
      </c>
      <c r="J30" s="162">
        <v>0</v>
      </c>
      <c r="N30" s="32"/>
      <c r="O30" s="32"/>
      <c r="P30" s="153"/>
      <c r="Q30" s="154"/>
      <c r="R30" s="153"/>
      <c r="S30" s="154"/>
      <c r="T30" s="153"/>
      <c r="U30" s="154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6240</v>
      </c>
      <c r="B31" s="52">
        <v>1.33</v>
      </c>
      <c r="C31" s="160">
        <v>0.7</v>
      </c>
      <c r="D31" s="157">
        <v>23308270.67669173</v>
      </c>
      <c r="E31" s="26">
        <f>VLOOKUP(6240,季財報!$A:$H,8,0)</f>
        <v>2</v>
      </c>
      <c r="F31" s="160">
        <v>0.25838333333333335</v>
      </c>
      <c r="G31" s="54">
        <v>0</v>
      </c>
      <c r="H31" s="54">
        <v>238269000</v>
      </c>
      <c r="I31" s="65">
        <v>0</v>
      </c>
      <c r="J31" s="162">
        <v>0</v>
      </c>
      <c r="N31" s="32"/>
      <c r="O31" s="32"/>
      <c r="P31" s="153"/>
      <c r="Q31" s="32"/>
      <c r="R31" s="153"/>
      <c r="S31" s="154"/>
      <c r="T31" s="153"/>
      <c r="U31" s="154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6242</v>
      </c>
      <c r="B32" s="52">
        <v>0.38</v>
      </c>
      <c r="C32" s="160">
        <v>0.9642857142857143</v>
      </c>
      <c r="D32" s="157">
        <v>21052631.578947369</v>
      </c>
      <c r="E32" s="26">
        <f>VLOOKUP(6242,季財報!$A:$H,8,0)</f>
        <v>1</v>
      </c>
      <c r="F32" s="160">
        <v>8.7375000000000022E-2</v>
      </c>
      <c r="G32" s="54">
        <v>0</v>
      </c>
      <c r="H32" s="54">
        <v>454728000</v>
      </c>
      <c r="I32" s="65">
        <v>0</v>
      </c>
      <c r="J32" s="162">
        <v>0</v>
      </c>
      <c r="N32" s="32"/>
      <c r="O32" s="32"/>
      <c r="P32" s="153"/>
      <c r="Q32" s="32"/>
      <c r="R32" s="153"/>
      <c r="S32" s="154"/>
      <c r="T32" s="153"/>
      <c r="U32" s="154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6250</v>
      </c>
      <c r="B33" s="52">
        <v>-2.48</v>
      </c>
      <c r="C33" s="160">
        <v>0.97826086956521741</v>
      </c>
      <c r="D33" s="157">
        <v>18145161.290322579</v>
      </c>
      <c r="E33" s="26">
        <f>VLOOKUP(6250,季財報!$A:$H,8,0)</f>
        <v>0</v>
      </c>
      <c r="F33" s="160">
        <v>0.52174166666666666</v>
      </c>
      <c r="G33" s="54">
        <v>0</v>
      </c>
      <c r="H33" s="54">
        <v>124632000</v>
      </c>
      <c r="I33" s="65">
        <v>0</v>
      </c>
      <c r="J33" s="162">
        <v>0</v>
      </c>
      <c r="N33" s="32"/>
      <c r="O33" s="32"/>
      <c r="P33" s="153"/>
      <c r="Q33" s="154"/>
      <c r="R33" s="153"/>
      <c r="S33" s="154"/>
      <c r="T33" s="153"/>
      <c r="U33" s="154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8034</v>
      </c>
      <c r="B34" s="52">
        <v>-0.01</v>
      </c>
      <c r="C34" s="160">
        <v>0</v>
      </c>
      <c r="D34" s="157">
        <v>0</v>
      </c>
      <c r="E34" s="26">
        <f>VLOOKUP(8034,季財報!$A:$H,8,0)</f>
        <v>3</v>
      </c>
      <c r="F34" s="160">
        <v>1.2774999999999989E-2</v>
      </c>
      <c r="G34" s="54">
        <v>0</v>
      </c>
      <c r="H34" s="54">
        <v>198940000</v>
      </c>
      <c r="I34" s="65">
        <v>0</v>
      </c>
      <c r="J34" s="162">
        <v>0</v>
      </c>
      <c r="N34" s="32"/>
      <c r="O34" s="32"/>
      <c r="P34" s="153"/>
      <c r="Q34" s="154"/>
      <c r="R34" s="153"/>
      <c r="S34" s="154"/>
      <c r="T34" s="153"/>
      <c r="U34" s="154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8068</v>
      </c>
      <c r="B35" s="52">
        <v>0</v>
      </c>
      <c r="C35" s="160">
        <v>0</v>
      </c>
      <c r="D35" s="157">
        <v>0</v>
      </c>
      <c r="E35" s="26">
        <f>VLOOKUP(8068,季財報!$A:$H,8,0)</f>
        <v>1</v>
      </c>
      <c r="F35" s="160">
        <v>0.15518333333333334</v>
      </c>
      <c r="G35" s="54">
        <v>0</v>
      </c>
      <c r="H35" s="54">
        <v>1539695000</v>
      </c>
      <c r="I35" s="65">
        <v>0</v>
      </c>
      <c r="J35" s="162">
        <v>0</v>
      </c>
      <c r="N35" s="32"/>
      <c r="O35" s="32"/>
      <c r="P35" s="153"/>
      <c r="Q35" s="154"/>
      <c r="R35" s="153"/>
      <c r="S35" s="154"/>
      <c r="T35" s="153"/>
      <c r="U35" s="154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8183</v>
      </c>
      <c r="B36" s="52">
        <v>0</v>
      </c>
      <c r="C36" s="160">
        <v>0</v>
      </c>
      <c r="D36" s="157">
        <v>0</v>
      </c>
      <c r="E36" s="26">
        <f>VLOOKUP(8183,季財報!$A:$H,8,0)</f>
        <v>4</v>
      </c>
      <c r="F36" s="160">
        <v>3.6416666666666628E-3</v>
      </c>
      <c r="G36" s="54">
        <v>0</v>
      </c>
      <c r="H36" s="54">
        <v>2638977000</v>
      </c>
      <c r="I36" s="65">
        <v>0</v>
      </c>
      <c r="J36" s="162">
        <v>0</v>
      </c>
      <c r="N36" s="32"/>
      <c r="O36" s="32"/>
      <c r="P36" s="153"/>
      <c r="Q36" s="154"/>
      <c r="R36" s="153"/>
      <c r="S36" s="154"/>
      <c r="T36" s="153"/>
      <c r="U36" s="154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8390</v>
      </c>
      <c r="B37" s="52">
        <v>0</v>
      </c>
      <c r="C37" s="160">
        <v>0</v>
      </c>
      <c r="D37" s="157">
        <v>0</v>
      </c>
      <c r="E37" s="26">
        <f>VLOOKUP(8390,季財報!$A:$H,8,0)</f>
        <v>0</v>
      </c>
      <c r="F37" s="160">
        <v>2.0866666666666672E-2</v>
      </c>
      <c r="G37" s="54">
        <v>0</v>
      </c>
      <c r="H37" s="54">
        <v>3214716000</v>
      </c>
      <c r="I37" s="65">
        <v>0</v>
      </c>
      <c r="J37" s="162">
        <v>0</v>
      </c>
      <c r="K37" s="32"/>
      <c r="N37" s="32"/>
      <c r="O37" s="32"/>
      <c r="P37" s="153"/>
      <c r="Q37" s="32"/>
      <c r="R37" s="153"/>
      <c r="S37" s="154"/>
      <c r="T37" s="153"/>
      <c r="U37" s="154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8917</v>
      </c>
      <c r="B38" s="52">
        <v>0.34</v>
      </c>
      <c r="C38" s="160">
        <v>0.91764705882352937</v>
      </c>
      <c r="D38" s="157">
        <v>123529411.76470587</v>
      </c>
      <c r="E38" s="26">
        <f>VLOOKUP(8917,季財報!$A:$H,8,0)</f>
        <v>3</v>
      </c>
      <c r="F38" s="160">
        <v>-1.6491666666666668E-2</v>
      </c>
      <c r="G38" s="54">
        <v>0</v>
      </c>
      <c r="H38" s="54">
        <v>1663020000</v>
      </c>
      <c r="I38" s="65">
        <v>0</v>
      </c>
      <c r="J38" s="162">
        <v>0</v>
      </c>
      <c r="N38" s="32"/>
      <c r="O38" s="32"/>
      <c r="P38" s="153"/>
      <c r="Q38" s="154"/>
      <c r="R38" s="153"/>
      <c r="S38" s="154"/>
      <c r="T38" s="153"/>
      <c r="U38" s="154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8923</v>
      </c>
      <c r="B39" s="52">
        <v>0.27</v>
      </c>
      <c r="C39" s="160">
        <v>9.0909090909090912E-2</v>
      </c>
      <c r="D39" s="157">
        <v>29629629.629629627</v>
      </c>
      <c r="E39" s="26">
        <f>VLOOKUP(8923,季財報!$A:$H,8,0)</f>
        <v>1</v>
      </c>
      <c r="F39" s="160">
        <v>1.920833333333332E-2</v>
      </c>
      <c r="G39" s="54">
        <v>0</v>
      </c>
      <c r="H39" s="54">
        <v>396398000</v>
      </c>
      <c r="I39" s="65">
        <v>0</v>
      </c>
      <c r="J39" s="162">
        <v>0</v>
      </c>
      <c r="N39" s="32"/>
      <c r="O39" s="32"/>
      <c r="P39" s="153"/>
      <c r="Q39" s="154"/>
      <c r="R39" s="153"/>
      <c r="S39" s="154"/>
      <c r="T39" s="153"/>
      <c r="U39" s="154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8925</v>
      </c>
      <c r="B40" s="52">
        <v>-0.9</v>
      </c>
      <c r="C40" s="160">
        <v>9.6907993966817499E-2</v>
      </c>
      <c r="D40" s="157">
        <v>364444444.44444442</v>
      </c>
      <c r="E40" s="26">
        <f>VLOOKUP(8925,季財報!$A:$H,8,0)</f>
        <v>3</v>
      </c>
      <c r="F40" s="160">
        <v>-5.3824999999999991E-2</v>
      </c>
      <c r="G40" s="54">
        <v>0</v>
      </c>
      <c r="H40" s="54">
        <v>1537104000</v>
      </c>
      <c r="I40" s="65">
        <v>0</v>
      </c>
      <c r="J40" s="162">
        <v>0</v>
      </c>
      <c r="N40" s="32"/>
      <c r="O40" s="32"/>
      <c r="P40" s="153"/>
      <c r="Q40" s="154"/>
      <c r="R40" s="153"/>
      <c r="S40" s="154"/>
      <c r="T40" s="153"/>
      <c r="U40" s="154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8927</v>
      </c>
      <c r="B41" s="52">
        <v>-0.15</v>
      </c>
      <c r="C41" s="160">
        <v>0</v>
      </c>
      <c r="D41" s="157">
        <v>0</v>
      </c>
      <c r="E41" s="26">
        <f>VLOOKUP(8927,季財報!$A:$H,8,0)</f>
        <v>3</v>
      </c>
      <c r="F41" s="160">
        <v>6.7416666666666666E-3</v>
      </c>
      <c r="G41" s="54">
        <v>0</v>
      </c>
      <c r="H41" s="54">
        <v>3353154000</v>
      </c>
      <c r="I41" s="65">
        <v>0</v>
      </c>
      <c r="J41" s="162">
        <v>0</v>
      </c>
      <c r="N41" s="32"/>
      <c r="O41" s="32"/>
      <c r="P41" s="153"/>
      <c r="Q41" s="154"/>
      <c r="R41" s="153"/>
      <c r="S41" s="154"/>
      <c r="T41" s="153"/>
      <c r="U41" s="154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8934</v>
      </c>
      <c r="B42" s="52">
        <v>-0.42</v>
      </c>
      <c r="C42" s="160">
        <v>1</v>
      </c>
      <c r="D42" s="157">
        <v>7142857.1428571427</v>
      </c>
      <c r="E42" s="26">
        <f>VLOOKUP(8934,季財報!$A:$H,8,0)</f>
        <v>2</v>
      </c>
      <c r="F42" s="160">
        <v>1.0108333333333332E-2</v>
      </c>
      <c r="G42" s="54">
        <v>0</v>
      </c>
      <c r="H42" s="54">
        <v>677188000</v>
      </c>
      <c r="I42" s="65">
        <v>0</v>
      </c>
      <c r="J42" s="162">
        <v>0</v>
      </c>
      <c r="N42" s="32"/>
      <c r="O42" s="32"/>
      <c r="P42" s="153"/>
      <c r="Q42" s="154"/>
      <c r="R42" s="153"/>
      <c r="S42" s="154"/>
      <c r="T42" s="153"/>
      <c r="U42" s="154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9931</v>
      </c>
      <c r="B43" s="52">
        <v>0.12</v>
      </c>
      <c r="C43" s="160">
        <v>0.6987951807228916</v>
      </c>
      <c r="D43" s="157">
        <v>100000000</v>
      </c>
      <c r="E43" s="26">
        <f>VLOOKUP(9931,季財報!$A:$H,8,0)</f>
        <v>2</v>
      </c>
      <c r="F43" s="160">
        <v>-8.5166666666666637E-3</v>
      </c>
      <c r="G43" s="54">
        <v>0</v>
      </c>
      <c r="H43" s="54">
        <v>1311216000</v>
      </c>
      <c r="I43" s="65">
        <v>0</v>
      </c>
      <c r="J43" s="162">
        <v>0</v>
      </c>
      <c r="N43" s="32"/>
      <c r="O43" s="32"/>
      <c r="P43" s="153"/>
      <c r="Q43" s="154"/>
      <c r="R43" s="153"/>
      <c r="S43" s="154"/>
      <c r="T43" s="153"/>
      <c r="U43" s="154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5506</v>
      </c>
      <c r="B44" s="52">
        <v>-1.64</v>
      </c>
      <c r="C44" s="160">
        <v>0.12840466926070038</v>
      </c>
      <c r="D44" s="157">
        <v>152439024.39024392</v>
      </c>
      <c r="E44" s="26">
        <f>VLOOKUP(5506,季財報!$A:$H,8,0)</f>
        <v>0</v>
      </c>
      <c r="F44" s="160">
        <v>-4.6883333333333312E-2</v>
      </c>
      <c r="G44" s="54">
        <v>0</v>
      </c>
      <c r="H44" s="54">
        <v>3769969000</v>
      </c>
      <c r="I44" s="65">
        <v>0</v>
      </c>
      <c r="J44" s="162">
        <v>0</v>
      </c>
      <c r="N44" s="32"/>
      <c r="O44" s="32"/>
      <c r="P44" s="153"/>
      <c r="Q44" s="154"/>
      <c r="R44" s="153"/>
      <c r="S44" s="154"/>
      <c r="T44" s="153"/>
      <c r="U44" s="154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5384</v>
      </c>
      <c r="B45" s="52">
        <v>0.04</v>
      </c>
      <c r="C45" s="160">
        <v>1</v>
      </c>
      <c r="D45" s="157">
        <v>75000000</v>
      </c>
      <c r="E45" s="26">
        <f>VLOOKUP(5384,季財報!$A:$H,8,0)</f>
        <v>0</v>
      </c>
      <c r="F45" s="160">
        <v>4.2391666666666661E-2</v>
      </c>
      <c r="G45" s="54">
        <v>0</v>
      </c>
      <c r="H45" s="54">
        <v>11721209000</v>
      </c>
      <c r="I45" s="65">
        <v>0</v>
      </c>
      <c r="J45" s="162">
        <v>0</v>
      </c>
      <c r="N45" s="32"/>
      <c r="O45" s="32"/>
      <c r="P45" s="153"/>
      <c r="Q45" s="154"/>
      <c r="R45" s="32"/>
      <c r="S45" s="32"/>
      <c r="T45" s="153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8053</v>
      </c>
      <c r="B46" s="52">
        <v>-0.62</v>
      </c>
      <c r="C46" s="160">
        <v>0.83483483483483478</v>
      </c>
      <c r="D46" s="157">
        <v>409677419.35483873</v>
      </c>
      <c r="E46" s="26">
        <f>VLOOKUP(8053,季財報!$A:$H,8,0)</f>
        <v>2</v>
      </c>
      <c r="F46" s="160">
        <v>5.9416666666666645E-3</v>
      </c>
      <c r="G46" s="54">
        <v>0</v>
      </c>
      <c r="H46" s="54">
        <v>3646217000</v>
      </c>
      <c r="I46" s="65">
        <v>0</v>
      </c>
      <c r="J46" s="162">
        <v>0</v>
      </c>
      <c r="N46" s="32"/>
      <c r="O46" s="32"/>
      <c r="P46" s="153"/>
      <c r="Q46" s="154"/>
      <c r="R46" s="32"/>
      <c r="S46" s="32"/>
      <c r="T46" s="153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3562</v>
      </c>
      <c r="B47" s="150">
        <v>-0.11</v>
      </c>
      <c r="C47" s="159">
        <v>0</v>
      </c>
      <c r="D47" s="152">
        <v>54545454.545454547</v>
      </c>
      <c r="E47" s="26">
        <f>VLOOKUP(3562,季財報!$A:$H,8,0)</f>
        <v>0</v>
      </c>
      <c r="F47" s="159">
        <v>8.2741666666666672E-2</v>
      </c>
      <c r="G47" s="152">
        <v>0</v>
      </c>
      <c r="H47" s="152">
        <v>980636000</v>
      </c>
      <c r="I47" s="150">
        <v>0</v>
      </c>
      <c r="J47" s="152">
        <v>0</v>
      </c>
      <c r="N47" s="32"/>
      <c r="O47" s="32"/>
      <c r="P47" s="153"/>
      <c r="Q47" s="154"/>
      <c r="R47" s="32"/>
      <c r="S47" s="32"/>
      <c r="T47" s="153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8266</v>
      </c>
      <c r="B48" s="52">
        <v>-0.53</v>
      </c>
      <c r="C48" s="160">
        <v>0.50724637681159424</v>
      </c>
      <c r="D48" s="157">
        <v>28301886.792452827</v>
      </c>
      <c r="E48" s="26">
        <f>VLOOKUP(8266,季財報!$A:$H,8,0)</f>
        <v>3</v>
      </c>
      <c r="F48" s="160">
        <v>0.45496666666666669</v>
      </c>
      <c r="G48" s="54">
        <v>0</v>
      </c>
      <c r="H48" s="54">
        <v>2745813000</v>
      </c>
      <c r="I48" s="65">
        <v>0</v>
      </c>
      <c r="J48" s="162">
        <v>0</v>
      </c>
      <c r="N48" s="32"/>
      <c r="O48" s="32"/>
      <c r="P48" s="153"/>
      <c r="Q48" s="32"/>
      <c r="R48" s="32"/>
      <c r="S48" s="32"/>
      <c r="T48" s="153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3609</v>
      </c>
      <c r="B49" s="150">
        <v>-0.08</v>
      </c>
      <c r="C49" s="159">
        <v>1</v>
      </c>
      <c r="D49" s="152">
        <v>25000000</v>
      </c>
      <c r="E49" s="26">
        <f>VLOOKUP(3609,季財報!$A:$H,8,0)</f>
        <v>3</v>
      </c>
      <c r="F49" s="159">
        <v>1.1583333333333369E-3</v>
      </c>
      <c r="G49" s="152">
        <v>0</v>
      </c>
      <c r="H49" s="152">
        <v>802024000</v>
      </c>
      <c r="I49" s="150">
        <v>0</v>
      </c>
      <c r="J49" s="152">
        <v>0</v>
      </c>
      <c r="K49" s="32"/>
      <c r="N49" s="32"/>
      <c r="O49" s="32"/>
      <c r="P49" s="153"/>
      <c r="Q49" s="32"/>
      <c r="R49" s="32"/>
      <c r="S49" s="32"/>
      <c r="T49" s="153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2017</v>
      </c>
      <c r="B50" s="150">
        <v>-0.17</v>
      </c>
      <c r="C50" s="159">
        <v>0.80851063829787229</v>
      </c>
      <c r="D50" s="152">
        <v>382352941.17647058</v>
      </c>
      <c r="E50" s="26">
        <f>VLOOKUP(2017,季財報!$A:$H,8,0)</f>
        <v>1</v>
      </c>
      <c r="F50" s="159">
        <v>-3.0708333333333334E-2</v>
      </c>
      <c r="G50" s="152">
        <v>0</v>
      </c>
      <c r="H50" s="152">
        <v>4928022000</v>
      </c>
      <c r="I50" s="150">
        <v>0</v>
      </c>
      <c r="J50" s="152">
        <v>0</v>
      </c>
      <c r="N50" s="32"/>
      <c r="O50" s="32"/>
      <c r="P50" s="153"/>
      <c r="Q50" s="154"/>
      <c r="R50" s="32"/>
      <c r="S50" s="32"/>
      <c r="T50" s="153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6172</v>
      </c>
      <c r="B51" s="52">
        <v>0.12</v>
      </c>
      <c r="C51" s="160">
        <v>0</v>
      </c>
      <c r="D51" s="157">
        <v>50000000</v>
      </c>
      <c r="E51" s="26">
        <f>VLOOKUP(6172,季財報!$A:$H,8,0)</f>
        <v>3</v>
      </c>
      <c r="F51" s="160">
        <v>-2.5300000000000007E-2</v>
      </c>
      <c r="G51" s="54">
        <v>0</v>
      </c>
      <c r="H51" s="54">
        <v>274883000</v>
      </c>
      <c r="I51" s="65">
        <v>0</v>
      </c>
      <c r="J51" s="162">
        <v>0</v>
      </c>
      <c r="N51" s="32"/>
      <c r="O51" s="32"/>
      <c r="P51" s="153"/>
      <c r="Q51" s="154"/>
      <c r="R51" s="32"/>
      <c r="S51" s="32"/>
      <c r="T51" s="153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1456</v>
      </c>
      <c r="B52" s="150">
        <v>-7.0000000000000007E-2</v>
      </c>
      <c r="C52" s="159">
        <v>0.19444444444444445</v>
      </c>
      <c r="D52" s="152">
        <v>214285714.28571427</v>
      </c>
      <c r="E52" s="26">
        <f>VLOOKUP(1456,季財報!$A:$H,8,0)</f>
        <v>3</v>
      </c>
      <c r="F52" s="159">
        <v>9.7250000000000027E-3</v>
      </c>
      <c r="G52" s="152">
        <v>0</v>
      </c>
      <c r="H52" s="152">
        <v>624005000</v>
      </c>
      <c r="I52" s="150">
        <v>0</v>
      </c>
      <c r="J52" s="152">
        <v>0</v>
      </c>
      <c r="N52" s="32"/>
      <c r="O52" s="32"/>
      <c r="P52" s="153"/>
      <c r="Q52" s="32"/>
      <c r="R52" s="32"/>
      <c r="S52" s="32"/>
      <c r="T52" s="153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3141</v>
      </c>
      <c r="B53" s="150">
        <v>0.28999999999999998</v>
      </c>
      <c r="C53" s="159">
        <v>0.625</v>
      </c>
      <c r="D53" s="152">
        <v>103448275.86206897</v>
      </c>
      <c r="E53" s="26">
        <f>VLOOKUP(3141,季財報!$A:$H,8,0)</f>
        <v>2</v>
      </c>
      <c r="F53" s="159">
        <v>4.6483333333333328E-2</v>
      </c>
      <c r="G53" s="152">
        <v>0</v>
      </c>
      <c r="H53" s="152">
        <v>1073418000</v>
      </c>
      <c r="I53" s="150">
        <v>0</v>
      </c>
      <c r="J53" s="152">
        <v>0</v>
      </c>
      <c r="N53" s="32"/>
      <c r="O53" s="32"/>
      <c r="P53" s="153"/>
      <c r="Q53" s="32"/>
      <c r="R53" s="32"/>
      <c r="S53" s="32"/>
      <c r="T53" s="153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5604</v>
      </c>
      <c r="B54" s="52">
        <v>0.28000000000000003</v>
      </c>
      <c r="C54" s="160">
        <v>0.96969696969696972</v>
      </c>
      <c r="D54" s="157">
        <v>110714285.7142857</v>
      </c>
      <c r="E54" s="26">
        <f>VLOOKUP(5604,季財報!$A:$H,8,0)</f>
        <v>1</v>
      </c>
      <c r="F54" s="160">
        <v>8.199999999999999E-3</v>
      </c>
      <c r="G54" s="54">
        <v>0</v>
      </c>
      <c r="H54" s="54">
        <v>1458383000</v>
      </c>
      <c r="I54" s="65">
        <v>0</v>
      </c>
      <c r="J54" s="162">
        <v>0</v>
      </c>
      <c r="N54" s="32"/>
      <c r="O54" s="32"/>
      <c r="P54" s="153"/>
      <c r="Q54" s="32"/>
      <c r="R54" s="32"/>
      <c r="S54" s="32"/>
      <c r="T54" s="153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1410</v>
      </c>
      <c r="B55" s="150">
        <v>0.47</v>
      </c>
      <c r="C55" s="159">
        <v>0.88732394366197187</v>
      </c>
      <c r="D55" s="152">
        <v>72340425.531914905</v>
      </c>
      <c r="E55" s="26">
        <f>VLOOKUP(1410,季財報!$A:$H,8,0)</f>
        <v>2</v>
      </c>
      <c r="F55" s="159">
        <v>2.5275000000000002E-2</v>
      </c>
      <c r="G55" s="152">
        <v>0</v>
      </c>
      <c r="H55" s="152">
        <v>632840000</v>
      </c>
      <c r="I55" s="150">
        <v>0</v>
      </c>
      <c r="J55" s="152">
        <v>0</v>
      </c>
      <c r="N55" s="32"/>
      <c r="O55" s="32"/>
      <c r="P55" s="153"/>
      <c r="Q55" s="154"/>
      <c r="R55" s="32"/>
      <c r="S55" s="32"/>
      <c r="T55" s="153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2718</v>
      </c>
      <c r="B56" s="150">
        <v>0.26</v>
      </c>
      <c r="C56" s="159">
        <v>0.83333333333333337</v>
      </c>
      <c r="D56" s="152">
        <v>23076923.076923076</v>
      </c>
      <c r="E56" s="26">
        <f>VLOOKUP(2718,季財報!$A:$H,8,0)</f>
        <v>3</v>
      </c>
      <c r="F56" s="159">
        <v>2.0508333333333326E-2</v>
      </c>
      <c r="G56" s="152">
        <v>0</v>
      </c>
      <c r="H56" s="152">
        <v>282012000</v>
      </c>
      <c r="I56" s="150">
        <v>0</v>
      </c>
      <c r="J56" s="152">
        <v>0</v>
      </c>
      <c r="N56" s="32"/>
      <c r="O56" s="32"/>
      <c r="P56" s="153"/>
      <c r="Q56" s="32"/>
      <c r="R56" s="32"/>
      <c r="S56" s="32"/>
      <c r="T56" s="153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1469</v>
      </c>
      <c r="B57" s="155">
        <v>-0.02</v>
      </c>
      <c r="C57" s="159">
        <v>1</v>
      </c>
      <c r="D57" s="156">
        <v>150000000</v>
      </c>
      <c r="E57" s="26">
        <f>VLOOKUP(1469,季財報!$A:$H,8,0)</f>
        <v>1</v>
      </c>
      <c r="F57" s="159">
        <v>8.6258333333333326E-2</v>
      </c>
      <c r="G57" s="156">
        <v>0</v>
      </c>
      <c r="H57" s="156">
        <v>427232000</v>
      </c>
      <c r="I57" s="155">
        <v>0</v>
      </c>
      <c r="J57" s="156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6198</v>
      </c>
      <c r="B58" s="52">
        <v>-0.23</v>
      </c>
      <c r="C58" s="160">
        <v>1</v>
      </c>
      <c r="D58" s="157">
        <v>21739130.434782609</v>
      </c>
      <c r="E58" s="26">
        <f>VLOOKUP(6198,季財報!$A:$H,8,0)</f>
        <v>3</v>
      </c>
      <c r="F58" s="160">
        <v>6.0633333333333338E-2</v>
      </c>
      <c r="G58" s="54">
        <v>0</v>
      </c>
      <c r="H58" s="54">
        <v>75569000</v>
      </c>
      <c r="I58" s="65">
        <v>0</v>
      </c>
      <c r="J58" s="162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1613</v>
      </c>
      <c r="B59" s="150">
        <v>-0.73</v>
      </c>
      <c r="C59" s="159">
        <v>0</v>
      </c>
      <c r="D59" s="152">
        <v>227397260.2739726</v>
      </c>
      <c r="E59" s="26">
        <f>VLOOKUP(1613,季財報!$A:$H,8,0)</f>
        <v>1</v>
      </c>
      <c r="F59" s="159">
        <v>1.6058333333333338E-2</v>
      </c>
      <c r="G59" s="152">
        <v>679917808.21917808</v>
      </c>
      <c r="H59" s="152">
        <v>35766032000</v>
      </c>
      <c r="I59" s="150">
        <v>1.8536279877223141E-2</v>
      </c>
      <c r="J59" s="152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3312</v>
      </c>
      <c r="B60" s="150">
        <v>-0.37</v>
      </c>
      <c r="C60" s="159">
        <v>0.79069767441860461</v>
      </c>
      <c r="D60" s="152">
        <v>108108108.1081081</v>
      </c>
      <c r="E60" s="26">
        <f>VLOOKUP(3312,季財報!$A:$H,8,0)</f>
        <v>3</v>
      </c>
      <c r="F60" s="159">
        <v>2.9000000000000008E-2</v>
      </c>
      <c r="G60" s="152">
        <v>705945945.94594598</v>
      </c>
      <c r="H60" s="152">
        <v>15932206000</v>
      </c>
      <c r="I60" s="150">
        <v>4.2968050318218966E-2</v>
      </c>
      <c r="J60" s="152">
        <v>0</v>
      </c>
    </row>
    <row r="61" spans="1:30" hidden="1">
      <c r="A61" s="64">
        <v>3048</v>
      </c>
      <c r="B61" s="150">
        <v>0.68</v>
      </c>
      <c r="C61" s="159">
        <v>1</v>
      </c>
      <c r="D61" s="152">
        <v>201470588.2352941</v>
      </c>
      <c r="E61" s="26">
        <f>VLOOKUP(3048,季財報!$A:$H,8,0)</f>
        <v>2</v>
      </c>
      <c r="F61" s="159">
        <v>1.3516666666666663E-2</v>
      </c>
      <c r="G61" s="152">
        <v>3838014705.8823528</v>
      </c>
      <c r="H61" s="152">
        <v>72419589000</v>
      </c>
      <c r="I61" s="150">
        <v>5.2893077726732483E-2</v>
      </c>
      <c r="J61" s="152">
        <v>7.0036764705882346</v>
      </c>
      <c r="P61" s="151"/>
      <c r="Q61" s="151"/>
      <c r="R61" s="151"/>
      <c r="S61" s="151"/>
      <c r="T61" s="151"/>
      <c r="U61" s="151"/>
      <c r="V61" s="151"/>
      <c r="W61" s="151"/>
    </row>
    <row r="62" spans="1:30" hidden="1">
      <c r="A62" s="64">
        <v>8112</v>
      </c>
      <c r="B62" s="52">
        <v>0.35</v>
      </c>
      <c r="C62" s="160">
        <v>1</v>
      </c>
      <c r="D62" s="157">
        <v>285714285.71428573</v>
      </c>
      <c r="E62" s="26">
        <f>VLOOKUP(8112,季財報!$A:$H,8,0)</f>
        <v>4</v>
      </c>
      <c r="F62" s="160">
        <v>0.10688333333333333</v>
      </c>
      <c r="G62" s="54">
        <v>3771428571.4285712</v>
      </c>
      <c r="H62" s="54">
        <v>72993152000</v>
      </c>
      <c r="I62" s="65">
        <v>5.4245548949801548E-2</v>
      </c>
      <c r="J62" s="162">
        <v>9.4285714285714288</v>
      </c>
      <c r="P62" s="151"/>
      <c r="Q62" s="151"/>
      <c r="R62" s="151"/>
      <c r="S62" s="151"/>
      <c r="T62" s="151"/>
      <c r="U62" s="151"/>
      <c r="V62" s="151"/>
      <c r="W62" s="151"/>
    </row>
    <row r="63" spans="1:30" hidden="1">
      <c r="A63" s="64">
        <v>8096</v>
      </c>
      <c r="B63" s="52">
        <v>1.18</v>
      </c>
      <c r="C63" s="160">
        <v>0.27814569536423839</v>
      </c>
      <c r="D63" s="157">
        <v>122033898.30508475</v>
      </c>
      <c r="E63" s="26">
        <f>VLOOKUP(8096,季財報!$A:$H,8,0)</f>
        <v>3</v>
      </c>
      <c r="F63" s="160">
        <v>0.18245</v>
      </c>
      <c r="G63" s="54">
        <v>2397966101.6949153</v>
      </c>
      <c r="H63" s="54">
        <v>38415783000</v>
      </c>
      <c r="I63" s="65">
        <v>6.6140188336570482E-2</v>
      </c>
      <c r="J63" s="162">
        <v>14.967463680387409</v>
      </c>
      <c r="P63" s="151"/>
      <c r="Q63" s="151"/>
      <c r="R63" s="151"/>
      <c r="S63" s="151"/>
      <c r="T63" s="151"/>
      <c r="U63" s="151"/>
      <c r="V63" s="151"/>
      <c r="W63" s="151"/>
    </row>
    <row r="64" spans="1:30" hidden="1">
      <c r="A64" s="64">
        <v>3360</v>
      </c>
      <c r="B64" s="150">
        <v>0.46</v>
      </c>
      <c r="C64" s="159">
        <v>1</v>
      </c>
      <c r="D64" s="152">
        <v>76086956.521739125</v>
      </c>
      <c r="E64" s="26">
        <f>VLOOKUP(3360,季財報!$A:$H,8,0)</f>
        <v>1</v>
      </c>
      <c r="F64" s="159">
        <v>-4.7416666666666675E-3</v>
      </c>
      <c r="G64" s="152">
        <v>882608695.65217388</v>
      </c>
      <c r="H64" s="152">
        <v>11773776000</v>
      </c>
      <c r="I64" s="150">
        <v>7.2054559741031796E-2</v>
      </c>
      <c r="J64" s="152">
        <v>6.3043478260869561</v>
      </c>
    </row>
    <row r="65" spans="1:10" hidden="1">
      <c r="A65" s="64">
        <v>3231</v>
      </c>
      <c r="B65" s="150">
        <v>0.27</v>
      </c>
      <c r="C65" s="159">
        <v>0.20844686648501362</v>
      </c>
      <c r="D65" s="152">
        <v>2433333333.333333</v>
      </c>
      <c r="E65" s="26">
        <f>VLOOKUP(3231,季財報!$A:$H,8,0)</f>
        <v>3</v>
      </c>
      <c r="F65" s="159">
        <v>1.585E-2</v>
      </c>
      <c r="G65" s="152">
        <v>46598333333.333321</v>
      </c>
      <c r="H65" s="152">
        <v>625352263000</v>
      </c>
      <c r="I65" s="150">
        <v>7.4821695382609257E-2</v>
      </c>
      <c r="J65" s="152">
        <v>50</v>
      </c>
    </row>
    <row r="66" spans="1:10" hidden="1">
      <c r="A66" s="64">
        <v>5014</v>
      </c>
      <c r="B66" s="52">
        <v>-0.64</v>
      </c>
      <c r="C66" s="160">
        <v>0.33606557377049179</v>
      </c>
      <c r="D66" s="157">
        <v>165625000</v>
      </c>
      <c r="E66" s="26">
        <f>VLOOKUP(5014,季財報!$A:$H,8,0)</f>
        <v>3</v>
      </c>
      <c r="F66" s="160">
        <v>3.1733333333333322E-2</v>
      </c>
      <c r="G66" s="54">
        <v>1144468750</v>
      </c>
      <c r="H66" s="54">
        <v>14292616000</v>
      </c>
      <c r="I66" s="65">
        <v>7.8321139675212634E-2</v>
      </c>
      <c r="J66" s="162">
        <v>0</v>
      </c>
    </row>
    <row r="67" spans="1:10" hidden="1">
      <c r="A67" s="64">
        <v>6265</v>
      </c>
      <c r="B67" s="52">
        <v>0.41</v>
      </c>
      <c r="C67" s="160">
        <v>0</v>
      </c>
      <c r="D67" s="157">
        <v>117073170.73170732</v>
      </c>
      <c r="E67" s="26">
        <f>VLOOKUP(6265,季財報!$A:$H,8,0)</f>
        <v>3</v>
      </c>
      <c r="F67" s="160">
        <v>3.0599999999999999E-2</v>
      </c>
      <c r="G67" s="54">
        <v>789073170.73170733</v>
      </c>
      <c r="H67" s="54">
        <v>9164629000</v>
      </c>
      <c r="I67" s="65">
        <v>8.4129648156559531E-2</v>
      </c>
      <c r="J67" s="162">
        <v>0</v>
      </c>
    </row>
    <row r="68" spans="1:10" hidden="1">
      <c r="A68" s="64">
        <v>2028</v>
      </c>
      <c r="B68" s="150">
        <v>-1.5</v>
      </c>
      <c r="C68" s="159">
        <v>0.73712737127371275</v>
      </c>
      <c r="D68" s="152">
        <v>343333333.33333331</v>
      </c>
      <c r="E68" s="26">
        <f>VLOOKUP(2028,季財報!$A:$H,8,0)</f>
        <v>1</v>
      </c>
      <c r="F68" s="159">
        <v>-8.9891666666666661E-2</v>
      </c>
      <c r="G68" s="152">
        <v>549333333.33333337</v>
      </c>
      <c r="H68" s="152">
        <v>5830557000</v>
      </c>
      <c r="I68" s="150">
        <v>8.4595958818194456E-2</v>
      </c>
      <c r="J68" s="152">
        <v>0</v>
      </c>
    </row>
    <row r="69" spans="1:10" hidden="1">
      <c r="A69" s="64">
        <v>2475</v>
      </c>
      <c r="B69" s="150">
        <v>-0.56999999999999995</v>
      </c>
      <c r="C69" s="159">
        <v>1</v>
      </c>
      <c r="D69" s="152">
        <v>6435087719.2982464</v>
      </c>
      <c r="E69" s="26">
        <f>VLOOKUP(2475,季財報!$A:$H,8,0)</f>
        <v>2</v>
      </c>
      <c r="F69" s="159">
        <v>-1.5950000000000002E-2</v>
      </c>
      <c r="G69" s="152">
        <v>4375859649.1228075</v>
      </c>
      <c r="H69" s="152">
        <v>48578198000</v>
      </c>
      <c r="I69" s="150">
        <v>8.7963185685783929E-2</v>
      </c>
      <c r="J69" s="152">
        <v>0</v>
      </c>
    </row>
    <row r="70" spans="1:10" hidden="1">
      <c r="A70" s="64">
        <v>3584</v>
      </c>
      <c r="B70" s="150">
        <v>-3.01</v>
      </c>
      <c r="C70" s="159">
        <v>0.8558786346396966</v>
      </c>
      <c r="D70" s="152">
        <v>140531561.46179402</v>
      </c>
      <c r="E70" s="26">
        <f>VLOOKUP(3584,季財報!$A:$H,8,0)</f>
        <v>0</v>
      </c>
      <c r="F70" s="159">
        <v>-7.0450000000000013E-2</v>
      </c>
      <c r="G70" s="152">
        <v>505913621.2624585</v>
      </c>
      <c r="H70" s="152">
        <v>4938869000</v>
      </c>
      <c r="I70" s="150">
        <v>8.9244709365813107E-2</v>
      </c>
      <c r="J70" s="152">
        <v>0</v>
      </c>
    </row>
    <row r="71" spans="1:10" hidden="1">
      <c r="A71" s="64">
        <v>2324</v>
      </c>
      <c r="B71" s="150">
        <v>0.67</v>
      </c>
      <c r="C71" s="159">
        <v>0.73856655290102391</v>
      </c>
      <c r="D71" s="152">
        <v>4311940298.5074625</v>
      </c>
      <c r="E71" s="26">
        <f>VLOOKUP(2324,季財報!$A:$H,8,0)</f>
        <v>2</v>
      </c>
      <c r="F71" s="159">
        <v>1.5191666666666659E-2</v>
      </c>
      <c r="G71" s="152">
        <v>79770895522.388062</v>
      </c>
      <c r="H71" s="152">
        <v>846973706000</v>
      </c>
      <c r="I71" s="150">
        <v>9.3679942554873455E-2</v>
      </c>
      <c r="J71" s="152">
        <v>9.3464631555714952</v>
      </c>
    </row>
    <row r="72" spans="1:10" hidden="1">
      <c r="A72" s="64">
        <v>3702</v>
      </c>
      <c r="B72" s="150">
        <v>0.98</v>
      </c>
      <c r="C72" s="159">
        <v>1</v>
      </c>
      <c r="D72" s="152">
        <v>1650000000</v>
      </c>
      <c r="E72" s="26">
        <f>VLOOKUP(3702,季財報!$A:$H,8,0)</f>
        <v>1</v>
      </c>
      <c r="F72" s="159">
        <v>3.4574999999999995E-2</v>
      </c>
      <c r="G72" s="152">
        <v>50820000000</v>
      </c>
      <c r="H72" s="152">
        <v>507228598000</v>
      </c>
      <c r="I72" s="150">
        <v>0.10213016001756285</v>
      </c>
      <c r="J72" s="152">
        <v>7.8571428571428577</v>
      </c>
    </row>
    <row r="73" spans="1:10" hidden="1">
      <c r="A73" s="64">
        <v>2038</v>
      </c>
      <c r="B73" s="150">
        <v>-0.42</v>
      </c>
      <c r="C73" s="159">
        <v>1</v>
      </c>
      <c r="D73" s="152">
        <v>173809523.80952382</v>
      </c>
      <c r="E73" s="26">
        <f>VLOOKUP(2038,季財報!$A:$H,8,0)</f>
        <v>2</v>
      </c>
      <c r="F73" s="159">
        <v>-1.3333333333332789E-4</v>
      </c>
      <c r="G73" s="152">
        <v>955952380.95238101</v>
      </c>
      <c r="H73" s="152">
        <v>8374218000</v>
      </c>
      <c r="I73" s="150">
        <v>0.11142260783528553</v>
      </c>
      <c r="J73" s="152">
        <v>0</v>
      </c>
    </row>
    <row r="74" spans="1:10" hidden="1">
      <c r="A74" s="64">
        <v>1785</v>
      </c>
      <c r="B74" s="150">
        <v>0.21</v>
      </c>
      <c r="C74" s="159">
        <v>3.608247422680412E-2</v>
      </c>
      <c r="D74" s="152">
        <v>395238095.23809522</v>
      </c>
      <c r="E74" s="26">
        <f>VLOOKUP(1785,季財報!$A:$H,8,0)</f>
        <v>1</v>
      </c>
      <c r="F74" s="159">
        <v>8.1041666666666679E-2</v>
      </c>
      <c r="G74" s="152">
        <v>7450238095.2380953</v>
      </c>
      <c r="H74" s="152">
        <v>65747874000</v>
      </c>
      <c r="I74" s="150">
        <v>0.11244635397765956</v>
      </c>
      <c r="J74" s="152">
        <v>50</v>
      </c>
    </row>
    <row r="75" spans="1:10" hidden="1">
      <c r="A75" s="64">
        <v>5469</v>
      </c>
      <c r="B75" s="52">
        <v>0.62</v>
      </c>
      <c r="C75" s="160">
        <v>0</v>
      </c>
      <c r="D75" s="157">
        <v>446774193.54838711</v>
      </c>
      <c r="E75" s="26">
        <f>VLOOKUP(5469,季財報!$A:$H,8,0)</f>
        <v>1</v>
      </c>
      <c r="F75" s="160">
        <v>-1.4499999999999999E-3</v>
      </c>
      <c r="G75" s="54">
        <v>4691129032.2580643</v>
      </c>
      <c r="H75" s="54">
        <v>40884649000</v>
      </c>
      <c r="I75" s="65">
        <v>0.11382527905371756</v>
      </c>
      <c r="J75" s="162">
        <v>0</v>
      </c>
    </row>
    <row r="76" spans="1:10" hidden="1">
      <c r="A76" s="64">
        <v>2321</v>
      </c>
      <c r="B76" s="150">
        <v>-0.06</v>
      </c>
      <c r="C76" s="159">
        <v>1</v>
      </c>
      <c r="D76" s="152">
        <v>283333333.33333337</v>
      </c>
      <c r="E76" s="26">
        <f>VLOOKUP(2321,季財報!$A:$H,8,0)</f>
        <v>2</v>
      </c>
      <c r="F76" s="159">
        <v>3.4158333333333339E-2</v>
      </c>
      <c r="G76" s="152">
        <v>501500000.00000006</v>
      </c>
      <c r="H76" s="152">
        <v>4137991000</v>
      </c>
      <c r="I76" s="150">
        <v>0.12067922067452827</v>
      </c>
      <c r="J76" s="152">
        <v>0</v>
      </c>
    </row>
    <row r="77" spans="1:10" hidden="1">
      <c r="A77" s="64">
        <v>2371</v>
      </c>
      <c r="B77" s="150">
        <v>-0.45</v>
      </c>
      <c r="C77" s="159">
        <v>0.99687304565353341</v>
      </c>
      <c r="D77" s="152">
        <v>2280000000</v>
      </c>
      <c r="E77" s="26">
        <f>VLOOKUP(2371,季財報!$A:$H,8,0)</f>
        <v>2</v>
      </c>
      <c r="F77" s="159">
        <v>-9.4083333333333328E-3</v>
      </c>
      <c r="G77" s="152">
        <v>11947200000</v>
      </c>
      <c r="H77" s="152">
        <v>96693157000</v>
      </c>
      <c r="I77" s="150">
        <v>0.12171399243197571</v>
      </c>
      <c r="J77" s="152">
        <v>0</v>
      </c>
    </row>
    <row r="78" spans="1:10" hidden="1">
      <c r="A78" s="64">
        <v>3095</v>
      </c>
      <c r="B78" s="150">
        <v>-2.41</v>
      </c>
      <c r="C78" s="159">
        <v>1</v>
      </c>
      <c r="D78" s="152">
        <v>109543568.46473028</v>
      </c>
      <c r="E78" s="26">
        <f>VLOOKUP(3095,季財報!$A:$H,8,0)</f>
        <v>2</v>
      </c>
      <c r="F78" s="159">
        <v>9.2083333333333409E-3</v>
      </c>
      <c r="G78" s="152">
        <v>602489626.55601656</v>
      </c>
      <c r="H78" s="152">
        <v>4705586000</v>
      </c>
      <c r="I78" s="150">
        <v>0.12193112817803356</v>
      </c>
      <c r="J78" s="152">
        <v>0</v>
      </c>
    </row>
    <row r="79" spans="1:10" hidden="1">
      <c r="A79" s="64">
        <v>3315</v>
      </c>
      <c r="B79" s="150">
        <v>0.77</v>
      </c>
      <c r="C79" s="159">
        <v>0</v>
      </c>
      <c r="D79" s="152">
        <v>71428571.428571433</v>
      </c>
      <c r="E79" s="26">
        <f>VLOOKUP(3315,季財報!$A:$H,8,0)</f>
        <v>3</v>
      </c>
      <c r="F79" s="159">
        <v>3.0450000000000005E-2</v>
      </c>
      <c r="G79" s="152">
        <v>1110714285.7142859</v>
      </c>
      <c r="H79" s="152">
        <v>8994786000</v>
      </c>
      <c r="I79" s="150">
        <v>0.12387142181466074</v>
      </c>
      <c r="J79" s="152">
        <v>0</v>
      </c>
    </row>
    <row r="80" spans="1:10" hidden="1">
      <c r="A80" s="64">
        <v>3579</v>
      </c>
      <c r="B80" s="150">
        <v>-1.61</v>
      </c>
      <c r="C80" s="159">
        <v>0.12664907651715041</v>
      </c>
      <c r="D80" s="152">
        <v>115527950.310559</v>
      </c>
      <c r="E80" s="26">
        <f>VLOOKUP(3579,季財報!$A:$H,8,0)</f>
        <v>3</v>
      </c>
      <c r="F80" s="159">
        <v>-3.6666666666666559E-4</v>
      </c>
      <c r="G80" s="152">
        <v>1969751552.7950311</v>
      </c>
      <c r="H80" s="152">
        <v>15620487000</v>
      </c>
      <c r="I80" s="150">
        <v>0.12534039795919019</v>
      </c>
      <c r="J80" s="152">
        <v>0</v>
      </c>
    </row>
    <row r="81" spans="1:10" hidden="1">
      <c r="A81" s="64">
        <v>6150</v>
      </c>
      <c r="B81" s="52">
        <v>-0.48</v>
      </c>
      <c r="C81" s="160">
        <v>1</v>
      </c>
      <c r="D81" s="157">
        <v>50000000</v>
      </c>
      <c r="E81" s="26">
        <f>VLOOKUP(6150,季財報!$A:$H,8,0)</f>
        <v>2</v>
      </c>
      <c r="F81" s="160">
        <v>-1.3916666666666775E-3</v>
      </c>
      <c r="G81" s="54">
        <v>331000000</v>
      </c>
      <c r="H81" s="54">
        <v>2496288000</v>
      </c>
      <c r="I81" s="65">
        <v>0.12610167528551933</v>
      </c>
      <c r="J81" s="162">
        <v>0</v>
      </c>
    </row>
    <row r="82" spans="1:10" hidden="1">
      <c r="A82" s="64">
        <v>3209</v>
      </c>
      <c r="B82" s="150">
        <v>1.04</v>
      </c>
      <c r="C82" s="159">
        <v>0.96491228070175439</v>
      </c>
      <c r="D82" s="152">
        <v>120192307.69230768</v>
      </c>
      <c r="E82" s="26">
        <f>VLOOKUP(3209,季財報!$A:$H,8,0)</f>
        <v>2</v>
      </c>
      <c r="F82" s="159">
        <v>2.5883333333333331E-2</v>
      </c>
      <c r="G82" s="152">
        <v>3022836538.4615378</v>
      </c>
      <c r="H82" s="152">
        <v>23870031000</v>
      </c>
      <c r="I82" s="150">
        <v>0.12784664114000616</v>
      </c>
      <c r="J82" s="152">
        <v>6.2655157342657342</v>
      </c>
    </row>
    <row r="83" spans="1:10" hidden="1">
      <c r="A83" s="64">
        <v>3036</v>
      </c>
      <c r="B83" s="150">
        <v>1.1399999999999999</v>
      </c>
      <c r="C83" s="159">
        <v>1</v>
      </c>
      <c r="D83" s="152">
        <v>445614035.08771932</v>
      </c>
      <c r="E83" s="26">
        <f>VLOOKUP(3036,季財報!$A:$H,8,0)</f>
        <v>1</v>
      </c>
      <c r="F83" s="159">
        <v>1.683333333333337E-3</v>
      </c>
      <c r="G83" s="152">
        <v>15529649122.807018</v>
      </c>
      <c r="H83" s="152">
        <v>114162186000</v>
      </c>
      <c r="I83" s="150">
        <v>0.13434000291131673</v>
      </c>
      <c r="J83" s="152">
        <v>7.6425438596491242</v>
      </c>
    </row>
    <row r="84" spans="1:10" hidden="1">
      <c r="A84" s="64">
        <v>2353</v>
      </c>
      <c r="B84" s="150">
        <v>0.06</v>
      </c>
      <c r="C84" s="159">
        <v>8.8082901554404139E-2</v>
      </c>
      <c r="D84" s="152">
        <v>3183333333.3333335</v>
      </c>
      <c r="E84" s="26">
        <f>VLOOKUP(2353,季財報!$A:$H,8,0)</f>
        <v>1</v>
      </c>
      <c r="F84" s="159">
        <v>2.1608333333333327E-2</v>
      </c>
      <c r="G84" s="152">
        <v>37245000000</v>
      </c>
      <c r="H84" s="152">
        <v>269878960000</v>
      </c>
      <c r="I84" s="150">
        <v>0.13544256936863289</v>
      </c>
      <c r="J84" s="152">
        <v>50</v>
      </c>
    </row>
    <row r="85" spans="1:10" hidden="1">
      <c r="A85" s="64">
        <v>3033</v>
      </c>
      <c r="B85" s="150">
        <v>0.45</v>
      </c>
      <c r="C85" s="159">
        <v>1</v>
      </c>
      <c r="D85" s="152">
        <v>277777777.77777779</v>
      </c>
      <c r="E85" s="26">
        <f>VLOOKUP(3033,季財報!$A:$H,8,0)</f>
        <v>3</v>
      </c>
      <c r="F85" s="159">
        <v>3.8858333333333335E-2</v>
      </c>
      <c r="G85" s="152">
        <v>5291666666.666667</v>
      </c>
      <c r="H85" s="152">
        <v>39080685000</v>
      </c>
      <c r="I85" s="150">
        <v>0.13620206542045596</v>
      </c>
      <c r="J85" s="152">
        <v>10.583333333333334</v>
      </c>
    </row>
    <row r="86" spans="1:10" hidden="1">
      <c r="A86" s="64">
        <v>1309</v>
      </c>
      <c r="B86" s="150">
        <v>-0.55000000000000004</v>
      </c>
      <c r="C86" s="159">
        <v>1</v>
      </c>
      <c r="D86" s="152">
        <v>329090909.09090906</v>
      </c>
      <c r="E86" s="26">
        <f>VLOOKUP(1309,季財報!$A:$H,8,0)</f>
        <v>0</v>
      </c>
      <c r="F86" s="159">
        <v>-1.028333333333333E-2</v>
      </c>
      <c r="G86" s="152">
        <v>2445145454.545454</v>
      </c>
      <c r="H86" s="152">
        <v>17314749000</v>
      </c>
      <c r="I86" s="150">
        <v>0.13802948826257203</v>
      </c>
      <c r="J86" s="152">
        <v>0</v>
      </c>
    </row>
    <row r="87" spans="1:10" hidden="1">
      <c r="A87" s="64">
        <v>5609</v>
      </c>
      <c r="B87" s="52">
        <v>0.17</v>
      </c>
      <c r="C87" s="160">
        <v>0.85106382978723405</v>
      </c>
      <c r="D87" s="157">
        <v>129411764.70588234</v>
      </c>
      <c r="E87" s="26">
        <f>VLOOKUP(5609,季財報!$A:$H,8,0)</f>
        <v>1</v>
      </c>
      <c r="F87" s="160">
        <v>-5.7916666666666646E-3</v>
      </c>
      <c r="G87" s="54">
        <v>2070588235.2941175</v>
      </c>
      <c r="H87" s="54">
        <v>14830822000</v>
      </c>
      <c r="I87" s="65">
        <v>0.13825518872508824</v>
      </c>
      <c r="J87" s="162">
        <v>27.647058823529409</v>
      </c>
    </row>
    <row r="88" spans="1:10" hidden="1">
      <c r="A88" s="64">
        <v>3028</v>
      </c>
      <c r="B88" s="150">
        <v>0.41</v>
      </c>
      <c r="C88" s="159">
        <v>1</v>
      </c>
      <c r="D88" s="152">
        <v>214634146.34146342</v>
      </c>
      <c r="E88" s="26">
        <f>VLOOKUP(3028,季財報!$A:$H,8,0)</f>
        <v>1</v>
      </c>
      <c r="F88" s="159">
        <v>1.985E-2</v>
      </c>
      <c r="G88" s="152">
        <v>3380487804.8780489</v>
      </c>
      <c r="H88" s="152">
        <v>23604456000</v>
      </c>
      <c r="I88" s="150">
        <v>0.14249302896035518</v>
      </c>
      <c r="J88" s="152">
        <v>9.6036585365853657</v>
      </c>
    </row>
    <row r="89" spans="1:10" hidden="1">
      <c r="A89" s="64">
        <v>6148</v>
      </c>
      <c r="B89" s="52">
        <v>0.13</v>
      </c>
      <c r="C89" s="160">
        <v>1</v>
      </c>
      <c r="D89" s="157">
        <v>92307692.307692304</v>
      </c>
      <c r="E89" s="26">
        <f>VLOOKUP(6148,季財報!$A:$H,8,0)</f>
        <v>3</v>
      </c>
      <c r="F89" s="160">
        <v>7.3658333333333326E-2</v>
      </c>
      <c r="G89" s="54">
        <v>771692307.69230759</v>
      </c>
      <c r="H89" s="54">
        <v>5348195000</v>
      </c>
      <c r="I89" s="65">
        <v>0.14659939169143563</v>
      </c>
      <c r="J89" s="162">
        <v>16.076923076923077</v>
      </c>
    </row>
    <row r="90" spans="1:10" hidden="1">
      <c r="A90" s="64">
        <v>6152</v>
      </c>
      <c r="B90" s="52">
        <v>-0.41</v>
      </c>
      <c r="C90" s="160">
        <v>1</v>
      </c>
      <c r="D90" s="157">
        <v>168292682.92682928</v>
      </c>
      <c r="E90" s="26">
        <f>VLOOKUP(6152,季財報!$A:$H,8,0)</f>
        <v>3</v>
      </c>
      <c r="F90" s="160">
        <v>2.4508333333333337E-2</v>
      </c>
      <c r="G90" s="54">
        <v>1183097560.9756098</v>
      </c>
      <c r="H90" s="54">
        <v>8060488000</v>
      </c>
      <c r="I90" s="65">
        <v>0.14665772673430585</v>
      </c>
      <c r="J90" s="162">
        <v>0</v>
      </c>
    </row>
    <row r="91" spans="1:10" hidden="1">
      <c r="A91" s="64">
        <v>8101</v>
      </c>
      <c r="B91" s="52">
        <v>-0.23</v>
      </c>
      <c r="C91" s="160">
        <v>0.40217391304347827</v>
      </c>
      <c r="D91" s="157">
        <v>421739130.43478256</v>
      </c>
      <c r="E91" s="26">
        <f>VLOOKUP(8101,季財報!$A:$H,8,0)</f>
        <v>4</v>
      </c>
      <c r="F91" s="160">
        <v>-1.0600000000000007E-2</v>
      </c>
      <c r="G91" s="54">
        <v>3289565217.391304</v>
      </c>
      <c r="H91" s="54">
        <v>21129062000</v>
      </c>
      <c r="I91" s="65">
        <v>0.14863408312758516</v>
      </c>
      <c r="J91" s="162">
        <v>0</v>
      </c>
    </row>
    <row r="92" spans="1:10" hidden="1">
      <c r="A92" s="64">
        <v>2025</v>
      </c>
      <c r="B92" s="150">
        <v>-0.56000000000000005</v>
      </c>
      <c r="C92" s="159">
        <v>0.66666666666666663</v>
      </c>
      <c r="D92" s="152">
        <v>278571428.57142854</v>
      </c>
      <c r="E92" s="26">
        <f>VLOOKUP(2025,季財報!$A:$H,8,0)</f>
        <v>1</v>
      </c>
      <c r="F92" s="159">
        <v>2.2583333333333334E-2</v>
      </c>
      <c r="G92" s="152">
        <v>501428571.4285714</v>
      </c>
      <c r="H92" s="152">
        <v>3174762000</v>
      </c>
      <c r="I92" s="150">
        <v>0.14903509330615883</v>
      </c>
      <c r="J92" s="152">
        <v>0</v>
      </c>
    </row>
    <row r="93" spans="1:10" hidden="1">
      <c r="A93" s="64">
        <v>2430</v>
      </c>
      <c r="B93" s="150">
        <v>0.92</v>
      </c>
      <c r="C93" s="159">
        <v>1</v>
      </c>
      <c r="D93" s="152">
        <v>168478260.86956522</v>
      </c>
      <c r="E93" s="26">
        <f>VLOOKUP(2430,季財報!$A:$H,8,0)</f>
        <v>2</v>
      </c>
      <c r="F93" s="159">
        <v>1.7100000000000004E-2</v>
      </c>
      <c r="G93" s="152">
        <v>3512771739.130435</v>
      </c>
      <c r="H93" s="152">
        <v>23270081000</v>
      </c>
      <c r="I93" s="150">
        <v>0.15037931995150541</v>
      </c>
      <c r="J93" s="152">
        <v>5.6657608695652177</v>
      </c>
    </row>
    <row r="94" spans="1:10" hidden="1">
      <c r="A94" s="64">
        <v>8287</v>
      </c>
      <c r="B94" s="52">
        <v>0.77</v>
      </c>
      <c r="C94" s="160">
        <v>0.27067669172932329</v>
      </c>
      <c r="D94" s="157">
        <v>137662337.66233766</v>
      </c>
      <c r="E94" s="26">
        <f>VLOOKUP(8287,季財報!$A:$H,8,0)</f>
        <v>2</v>
      </c>
      <c r="F94" s="160">
        <v>2.604999999999999E-2</v>
      </c>
      <c r="G94" s="54">
        <v>2354025974.0259743</v>
      </c>
      <c r="H94" s="54">
        <v>15778760000</v>
      </c>
      <c r="I94" s="65">
        <v>0.15287686696709438</v>
      </c>
      <c r="J94" s="162">
        <v>20.511363636363637</v>
      </c>
    </row>
    <row r="95" spans="1:10" hidden="1">
      <c r="A95" s="64">
        <v>2616</v>
      </c>
      <c r="B95" s="150">
        <v>0.55000000000000004</v>
      </c>
      <c r="C95" s="159">
        <v>0.64102564102564108</v>
      </c>
      <c r="D95" s="152">
        <v>110909090.90909091</v>
      </c>
      <c r="E95" s="26">
        <f>VLOOKUP(2616,季財報!$A:$H,8,0)</f>
        <v>3</v>
      </c>
      <c r="F95" s="159">
        <v>-1.2091666666666667E-2</v>
      </c>
      <c r="G95" s="152">
        <v>2506545454.5454545</v>
      </c>
      <c r="H95" s="152">
        <v>16091290000</v>
      </c>
      <c r="I95" s="150">
        <v>0.15303346976634594</v>
      </c>
      <c r="J95" s="152">
        <v>16.025454545454544</v>
      </c>
    </row>
    <row r="96" spans="1:10" hidden="1">
      <c r="A96" s="64">
        <v>2347</v>
      </c>
      <c r="B96" s="150">
        <v>0.19</v>
      </c>
      <c r="C96" s="159">
        <v>1</v>
      </c>
      <c r="D96" s="152">
        <v>1589473684.2105262</v>
      </c>
      <c r="E96" s="26">
        <f>VLOOKUP(2347,季財報!$A:$H,8,0)</f>
        <v>0</v>
      </c>
      <c r="F96" s="159">
        <v>3.6033333333333334E-2</v>
      </c>
      <c r="G96" s="152">
        <v>48955789473.684212</v>
      </c>
      <c r="H96" s="152">
        <v>321129285000</v>
      </c>
      <c r="I96" s="150">
        <v>0.15474144568656273</v>
      </c>
      <c r="J96" s="152">
        <v>40.526315789473685</v>
      </c>
    </row>
    <row r="97" spans="1:10" hidden="1">
      <c r="A97" s="64">
        <v>5906</v>
      </c>
      <c r="B97" s="52">
        <v>-1.31</v>
      </c>
      <c r="C97" s="160">
        <v>1</v>
      </c>
      <c r="D97" s="157">
        <v>96183206.106870219</v>
      </c>
      <c r="E97" s="26">
        <f>VLOOKUP(5906,季財報!$A:$H,8,0)</f>
        <v>3</v>
      </c>
      <c r="F97" s="160">
        <v>-1.415833333333333E-2</v>
      </c>
      <c r="G97" s="54">
        <v>198137404.58015266</v>
      </c>
      <c r="H97" s="54">
        <v>1191443000</v>
      </c>
      <c r="I97" s="65">
        <v>0.15775547388581063</v>
      </c>
      <c r="J97" s="162">
        <v>0</v>
      </c>
    </row>
    <row r="98" spans="1:10" hidden="1">
      <c r="A98" s="64">
        <v>1609</v>
      </c>
      <c r="B98" s="150">
        <v>-0.45</v>
      </c>
      <c r="C98" s="159">
        <v>0.4578005115089514</v>
      </c>
      <c r="D98" s="152">
        <v>564444444.44444442</v>
      </c>
      <c r="E98" s="26">
        <f>VLOOKUP(1609,季財報!$A:$H,8,0)</f>
        <v>0</v>
      </c>
      <c r="F98" s="159">
        <v>1.3550000000000001E-2</v>
      </c>
      <c r="G98" s="152">
        <v>2540000000</v>
      </c>
      <c r="H98" s="152">
        <v>15588856000</v>
      </c>
      <c r="I98" s="150">
        <v>0.16143904989432734</v>
      </c>
      <c r="J98" s="152">
        <v>0</v>
      </c>
    </row>
    <row r="99" spans="1:10" hidden="1">
      <c r="A99" s="64">
        <v>1210</v>
      </c>
      <c r="B99" s="150">
        <v>0.5</v>
      </c>
      <c r="C99" s="159">
        <v>1</v>
      </c>
      <c r="D99" s="152">
        <v>686000000</v>
      </c>
      <c r="E99" s="26">
        <f>VLOOKUP(1210,季財報!$A:$H,8,0)</f>
        <v>2</v>
      </c>
      <c r="F99" s="159">
        <v>-1.3116666666666665E-2</v>
      </c>
      <c r="G99" s="152">
        <v>13342700000</v>
      </c>
      <c r="H99" s="152">
        <v>80693820000</v>
      </c>
      <c r="I99" s="150">
        <v>0.16229119499689623</v>
      </c>
      <c r="J99" s="152">
        <v>9.7249999999999996</v>
      </c>
    </row>
    <row r="100" spans="1:10" hidden="1">
      <c r="A100" s="64">
        <v>2414</v>
      </c>
      <c r="B100" s="150">
        <v>0.35</v>
      </c>
      <c r="C100" s="159">
        <v>1</v>
      </c>
      <c r="D100" s="152">
        <v>160000000</v>
      </c>
      <c r="E100" s="26">
        <f>VLOOKUP(2414,季財報!$A:$H,8,0)</f>
        <v>1</v>
      </c>
      <c r="F100" s="159">
        <v>2.0575E-2</v>
      </c>
      <c r="G100" s="152">
        <v>2528000000</v>
      </c>
      <c r="H100" s="152">
        <v>15706924000</v>
      </c>
      <c r="I100" s="150">
        <v>0.16239137748036289</v>
      </c>
      <c r="J100" s="152">
        <v>11.285714285714286</v>
      </c>
    </row>
    <row r="101" spans="1:10" hidden="1">
      <c r="A101" s="64">
        <v>1714</v>
      </c>
      <c r="B101" s="150">
        <v>0.33</v>
      </c>
      <c r="C101" s="159">
        <v>0.36832061068702288</v>
      </c>
      <c r="D101" s="152">
        <v>954545454.5454545</v>
      </c>
      <c r="E101" s="26">
        <f>VLOOKUP(1714,季財報!$A:$H,8,0)</f>
        <v>1</v>
      </c>
      <c r="F101" s="159">
        <v>-3.4200000000000001E-2</v>
      </c>
      <c r="G101" s="152">
        <v>7120909090.909091</v>
      </c>
      <c r="H101" s="152">
        <v>41148705000</v>
      </c>
      <c r="I101" s="150">
        <v>0.16255339815834741</v>
      </c>
      <c r="J101" s="152">
        <v>15.344010048673262</v>
      </c>
    </row>
    <row r="102" spans="1:10" hidden="1">
      <c r="A102" s="64">
        <v>6190</v>
      </c>
      <c r="B102" s="52">
        <v>0.09</v>
      </c>
      <c r="C102" s="160">
        <v>1</v>
      </c>
      <c r="D102" s="157">
        <v>111111111.11111112</v>
      </c>
      <c r="E102" s="26">
        <f>VLOOKUP(6190,季財報!$A:$H,8,0)</f>
        <v>2</v>
      </c>
      <c r="F102" s="160">
        <v>1.6916666666666694E-3</v>
      </c>
      <c r="G102" s="54">
        <v>661111111.11111116</v>
      </c>
      <c r="H102" s="54">
        <v>4021465000</v>
      </c>
      <c r="I102" s="65">
        <v>0.16379031602281657</v>
      </c>
      <c r="J102" s="162">
        <v>16.527777777777779</v>
      </c>
    </row>
    <row r="103" spans="1:10" hidden="1">
      <c r="A103" s="64">
        <v>4938</v>
      </c>
      <c r="B103" s="52">
        <v>2.31</v>
      </c>
      <c r="C103" s="160">
        <v>0.96729147141518279</v>
      </c>
      <c r="D103" s="157">
        <v>2603463203.4632034</v>
      </c>
      <c r="E103" s="26">
        <f>VLOOKUP(4938,季財報!$A:$H,8,0)</f>
        <v>1</v>
      </c>
      <c r="F103" s="160">
        <v>5.5224999999999996E-2</v>
      </c>
      <c r="G103" s="54">
        <v>202549437229.43723</v>
      </c>
      <c r="H103" s="54">
        <v>1212246035000</v>
      </c>
      <c r="I103" s="65">
        <v>0.16752983471223803</v>
      </c>
      <c r="J103" s="162">
        <v>8.7046290272721816</v>
      </c>
    </row>
    <row r="104" spans="1:10" hidden="1">
      <c r="A104" s="64">
        <v>2352</v>
      </c>
      <c r="B104" s="150">
        <v>0.28999999999999998</v>
      </c>
      <c r="C104" s="159">
        <v>0.44444444444444442</v>
      </c>
      <c r="D104" s="152">
        <v>1975862068.9655173</v>
      </c>
      <c r="E104" s="26">
        <f>VLOOKUP(2352,季財報!$A:$H,8,0)</f>
        <v>1</v>
      </c>
      <c r="F104" s="159">
        <v>2.7333333333333328E-3</v>
      </c>
      <c r="G104" s="152">
        <v>22426034482.758621</v>
      </c>
      <c r="H104" s="152">
        <v>133556590000</v>
      </c>
      <c r="I104" s="150">
        <v>0.16757228852940698</v>
      </c>
      <c r="J104" s="152">
        <v>22.015086206896552</v>
      </c>
    </row>
    <row r="105" spans="1:10" hidden="1">
      <c r="A105" s="64">
        <v>1605</v>
      </c>
      <c r="B105" s="150">
        <v>0.19</v>
      </c>
      <c r="C105" s="159">
        <v>0.44581818181818184</v>
      </c>
      <c r="D105" s="152">
        <v>3500000000</v>
      </c>
      <c r="E105" s="26">
        <f>VLOOKUP(1605,季財報!$A:$H,8,0)</f>
        <v>1</v>
      </c>
      <c r="F105" s="159">
        <v>1.8333333333332819E-4</v>
      </c>
      <c r="G105" s="152">
        <v>25235000000</v>
      </c>
      <c r="H105" s="152">
        <v>148282379000</v>
      </c>
      <c r="I105" s="150">
        <v>0.16903939430428544</v>
      </c>
      <c r="J105" s="152">
        <v>21.279621361724047</v>
      </c>
    </row>
    <row r="106" spans="1:10" hidden="1">
      <c r="A106" s="64">
        <v>6120</v>
      </c>
      <c r="B106" s="52">
        <v>-0.23</v>
      </c>
      <c r="C106" s="160">
        <v>1</v>
      </c>
      <c r="D106" s="157">
        <v>752173913.04347825</v>
      </c>
      <c r="E106" s="26">
        <f>VLOOKUP(6120,季財報!$A:$H,8,0)</f>
        <v>0</v>
      </c>
      <c r="F106" s="160">
        <v>-1.6916666666666667E-2</v>
      </c>
      <c r="G106" s="54">
        <v>7634565217.391305</v>
      </c>
      <c r="H106" s="54">
        <v>42564851000</v>
      </c>
      <c r="I106" s="65">
        <v>0.17369835174177278</v>
      </c>
      <c r="J106" s="162">
        <v>0</v>
      </c>
    </row>
    <row r="107" spans="1:10" hidden="1">
      <c r="A107" s="64">
        <v>5386</v>
      </c>
      <c r="B107" s="52">
        <v>1.02</v>
      </c>
      <c r="C107" s="160">
        <v>0.88461538461538458</v>
      </c>
      <c r="D107" s="157">
        <v>12745098.039215686</v>
      </c>
      <c r="E107" s="26">
        <f>VLOOKUP(5386,季財報!$A:$H,8,0)</f>
        <v>2</v>
      </c>
      <c r="F107" s="160">
        <v>0.29070833333333335</v>
      </c>
      <c r="G107" s="54">
        <v>314803921.56862742</v>
      </c>
      <c r="H107" s="54">
        <v>1776637000</v>
      </c>
      <c r="I107" s="65">
        <v>0.17573096391733792</v>
      </c>
      <c r="J107" s="162">
        <v>6.8435635123614666</v>
      </c>
    </row>
    <row r="108" spans="1:10" hidden="1">
      <c r="A108" s="64">
        <v>5491</v>
      </c>
      <c r="B108" s="52">
        <v>-0.17</v>
      </c>
      <c r="C108" s="160">
        <v>0.71098265895953761</v>
      </c>
      <c r="D108" s="157">
        <v>211764705.88235292</v>
      </c>
      <c r="E108" s="26">
        <f>VLOOKUP(5491,季財報!$A:$H,8,0)</f>
        <v>2</v>
      </c>
      <c r="F108" s="160">
        <v>1.5916666666666659E-3</v>
      </c>
      <c r="G108" s="54">
        <v>1456941176.470588</v>
      </c>
      <c r="H108" s="54">
        <v>8149466000</v>
      </c>
      <c r="I108" s="65">
        <v>0.17660077141053687</v>
      </c>
      <c r="J108" s="162">
        <v>0</v>
      </c>
    </row>
    <row r="109" spans="1:10" hidden="1">
      <c r="A109" s="64">
        <v>6191</v>
      </c>
      <c r="B109" s="52">
        <v>0.04</v>
      </c>
      <c r="C109" s="160">
        <v>0</v>
      </c>
      <c r="D109" s="157">
        <v>600000000</v>
      </c>
      <c r="E109" s="26">
        <f>VLOOKUP(6191,季財報!$A:$H,8,0)</f>
        <v>0</v>
      </c>
      <c r="F109" s="160">
        <v>-6.7500000000000112E-4</v>
      </c>
      <c r="G109" s="54">
        <v>4254000000</v>
      </c>
      <c r="H109" s="54">
        <v>23584262000</v>
      </c>
      <c r="I109" s="65">
        <v>0.17874036696985582</v>
      </c>
      <c r="J109" s="162">
        <v>0</v>
      </c>
    </row>
    <row r="110" spans="1:10" hidden="1">
      <c r="A110" s="64">
        <v>2356</v>
      </c>
      <c r="B110" s="150">
        <v>0.54</v>
      </c>
      <c r="C110" s="159">
        <v>0.44555091551557985</v>
      </c>
      <c r="D110" s="152">
        <v>3598148148.1481481</v>
      </c>
      <c r="E110" s="26">
        <f>VLOOKUP(2356,季財報!$A:$H,8,0)</f>
        <v>4</v>
      </c>
      <c r="F110" s="159">
        <v>3.8666666666666619E-3</v>
      </c>
      <c r="G110" s="152">
        <v>74481666666.666656</v>
      </c>
      <c r="H110" s="152">
        <v>393650143000</v>
      </c>
      <c r="I110" s="150">
        <v>0.18784513811928208</v>
      </c>
      <c r="J110" s="152">
        <v>21.50895217495794</v>
      </c>
    </row>
    <row r="111" spans="1:10" hidden="1">
      <c r="A111" s="64">
        <v>4973</v>
      </c>
      <c r="B111" s="52">
        <v>0.31</v>
      </c>
      <c r="C111" s="160">
        <v>1</v>
      </c>
      <c r="D111" s="157">
        <v>64516129.032258064</v>
      </c>
      <c r="E111" s="26">
        <f>VLOOKUP(4973,季財報!$A:$H,8,0)</f>
        <v>4</v>
      </c>
      <c r="F111" s="160">
        <v>-1.8166666666666664E-2</v>
      </c>
      <c r="G111" s="54">
        <v>1103225806.4516129</v>
      </c>
      <c r="H111" s="54">
        <v>5658588000</v>
      </c>
      <c r="I111" s="65">
        <v>0.18974826203491529</v>
      </c>
      <c r="J111" s="162">
        <v>13.790322580645162</v>
      </c>
    </row>
    <row r="112" spans="1:10" hidden="1">
      <c r="A112" s="64">
        <v>8240</v>
      </c>
      <c r="B112" s="52">
        <v>7.0000000000000007E-2</v>
      </c>
      <c r="C112" s="160">
        <v>0</v>
      </c>
      <c r="D112" s="157">
        <v>99999999.999999985</v>
      </c>
      <c r="E112" s="26">
        <f>VLOOKUP(8240,季財報!$A:$H,8,0)</f>
        <v>4</v>
      </c>
      <c r="F112" s="160">
        <v>9.4166666666666997E-4</v>
      </c>
      <c r="G112" s="54">
        <v>1889999999.9999995</v>
      </c>
      <c r="H112" s="54">
        <v>9757088000</v>
      </c>
      <c r="I112" s="65">
        <v>0.19264126669481194</v>
      </c>
      <c r="J112" s="162">
        <v>0</v>
      </c>
    </row>
    <row r="113" spans="1:10" hidden="1">
      <c r="A113" s="64">
        <v>3024</v>
      </c>
      <c r="B113" s="150">
        <v>-0.34</v>
      </c>
      <c r="C113" s="159">
        <v>1</v>
      </c>
      <c r="D113" s="152">
        <v>279411764.70588231</v>
      </c>
      <c r="E113" s="26">
        <f>VLOOKUP(3024,季財報!$A:$H,8,0)</f>
        <v>0</v>
      </c>
      <c r="F113" s="159">
        <v>-2.7224999999999999E-2</v>
      </c>
      <c r="G113" s="152">
        <v>1103676470.5882351</v>
      </c>
      <c r="H113" s="152">
        <v>5333590000</v>
      </c>
      <c r="I113" s="150">
        <v>0.19635401595634738</v>
      </c>
      <c r="J113" s="152">
        <v>0</v>
      </c>
    </row>
    <row r="114" spans="1:10" hidden="1">
      <c r="A114" s="64">
        <v>2361</v>
      </c>
      <c r="B114" s="150">
        <v>0.26</v>
      </c>
      <c r="C114" s="159">
        <v>0.70270270270270274</v>
      </c>
      <c r="D114" s="152">
        <v>73076923.076923072</v>
      </c>
      <c r="E114" s="26">
        <f>VLOOKUP(2361,季財報!$A:$H,8,0)</f>
        <v>3</v>
      </c>
      <c r="F114" s="159">
        <v>4.5916666666666701E-3</v>
      </c>
      <c r="G114" s="152">
        <v>40192307.692307696</v>
      </c>
      <c r="H114" s="152">
        <v>200298000</v>
      </c>
      <c r="I114" s="150">
        <v>0.19658554424660896</v>
      </c>
      <c r="J114" s="152">
        <v>0.7525887573964497</v>
      </c>
    </row>
    <row r="115" spans="1:10" hidden="1">
      <c r="A115" s="64">
        <v>2014</v>
      </c>
      <c r="B115" s="150">
        <v>0.35</v>
      </c>
      <c r="C115" s="159">
        <v>0</v>
      </c>
      <c r="D115" s="152">
        <v>1454285714.2857144</v>
      </c>
      <c r="E115" s="26">
        <f>VLOOKUP(2014,季財報!$A:$H,8,0)</f>
        <v>4</v>
      </c>
      <c r="F115" s="159">
        <v>-1.1633333333333331E-2</v>
      </c>
      <c r="G115" s="152">
        <v>6137085714.2857141</v>
      </c>
      <c r="H115" s="152">
        <v>30304527000</v>
      </c>
      <c r="I115" s="150">
        <v>0.19961957711769407</v>
      </c>
      <c r="J115" s="152">
        <v>0</v>
      </c>
    </row>
    <row r="116" spans="1:10" hidden="1">
      <c r="A116" s="64">
        <v>6134</v>
      </c>
      <c r="B116" s="52">
        <v>0.02</v>
      </c>
      <c r="C116" s="160">
        <v>1</v>
      </c>
      <c r="D116" s="157">
        <v>50000000</v>
      </c>
      <c r="E116" s="26">
        <f>VLOOKUP(6134,季財報!$A:$H,8,0)</f>
        <v>2</v>
      </c>
      <c r="F116" s="160">
        <v>3.091666666666664E-3</v>
      </c>
      <c r="G116" s="54">
        <v>338500000</v>
      </c>
      <c r="H116" s="54">
        <v>1665448000</v>
      </c>
      <c r="I116" s="65">
        <v>0.20149361232509938</v>
      </c>
      <c r="J116" s="162">
        <v>50</v>
      </c>
    </row>
    <row r="117" spans="1:10" hidden="1">
      <c r="A117" s="64">
        <v>2719</v>
      </c>
      <c r="B117" s="150">
        <v>-0.24</v>
      </c>
      <c r="C117" s="159">
        <v>1</v>
      </c>
      <c r="D117" s="152">
        <v>37500000</v>
      </c>
      <c r="E117" s="26">
        <f>VLOOKUP(2719,季財報!$A:$H,8,0)</f>
        <v>0</v>
      </c>
      <c r="F117" s="159">
        <v>3.8333333333333323E-2</v>
      </c>
      <c r="G117" s="152">
        <v>626250000</v>
      </c>
      <c r="H117" s="152">
        <v>3024023000</v>
      </c>
      <c r="I117" s="150">
        <v>0.2068818568327998</v>
      </c>
      <c r="J117" s="152">
        <v>0</v>
      </c>
    </row>
    <row r="118" spans="1:10" hidden="1">
      <c r="A118" s="64">
        <v>2382</v>
      </c>
      <c r="B118" s="150">
        <v>1.51</v>
      </c>
      <c r="C118" s="159">
        <v>0.66384180790960456</v>
      </c>
      <c r="D118" s="152">
        <v>3861589403.9735098</v>
      </c>
      <c r="E118" s="26">
        <f>VLOOKUP(2382,季財報!$A:$H,8,0)</f>
        <v>2</v>
      </c>
      <c r="F118" s="159">
        <v>2.8899999999999999E-2</v>
      </c>
      <c r="G118" s="152">
        <v>206595033112.58276</v>
      </c>
      <c r="H118" s="152">
        <v>998729020000</v>
      </c>
      <c r="I118" s="150">
        <v>0.20833859716504291</v>
      </c>
      <c r="J118" s="152">
        <v>13.342961814851344</v>
      </c>
    </row>
    <row r="119" spans="1:10" hidden="1">
      <c r="A119" s="64">
        <v>2030</v>
      </c>
      <c r="B119" s="150">
        <v>-0.35</v>
      </c>
      <c r="C119" s="159">
        <v>0.58677685950413228</v>
      </c>
      <c r="D119" s="152">
        <v>282857142.85714287</v>
      </c>
      <c r="E119" s="26">
        <f>VLOOKUP(2030,季財報!$A:$H,8,0)</f>
        <v>2</v>
      </c>
      <c r="F119" s="159">
        <v>2.1416666666666657E-2</v>
      </c>
      <c r="G119" s="152">
        <v>2551371428.5714283</v>
      </c>
      <c r="H119" s="152">
        <v>12013135000</v>
      </c>
      <c r="I119" s="150">
        <v>0.21114244690730269</v>
      </c>
      <c r="J119" s="152">
        <v>0</v>
      </c>
    </row>
    <row r="120" spans="1:10" hidden="1">
      <c r="A120" s="64">
        <v>8374</v>
      </c>
      <c r="B120" s="52">
        <v>-0.95</v>
      </c>
      <c r="C120" s="160">
        <v>0.30882352941176472</v>
      </c>
      <c r="D120" s="157">
        <v>88421052.631578952</v>
      </c>
      <c r="E120" s="26">
        <f>VLOOKUP(8374,季財報!$A:$H,8,0)</f>
        <v>0</v>
      </c>
      <c r="F120" s="160">
        <v>3.9225000000000003E-2</v>
      </c>
      <c r="G120" s="54">
        <v>847073684.21052635</v>
      </c>
      <c r="H120" s="54">
        <v>3895889000</v>
      </c>
      <c r="I120" s="65">
        <v>0.21143620192036422</v>
      </c>
      <c r="J120" s="162">
        <v>0</v>
      </c>
    </row>
    <row r="121" spans="1:10" hidden="1">
      <c r="A121" s="64">
        <v>6139</v>
      </c>
      <c r="B121" s="52">
        <v>0.79</v>
      </c>
      <c r="C121" s="160">
        <v>0.60893854748603349</v>
      </c>
      <c r="D121" s="157">
        <v>187341772.15189871</v>
      </c>
      <c r="E121" s="26">
        <f>VLOOKUP(6139,季財報!$A:$H,8,0)</f>
        <v>2</v>
      </c>
      <c r="F121" s="160">
        <v>3.3316666666666661E-2</v>
      </c>
      <c r="G121" s="54">
        <v>3390886075.949367</v>
      </c>
      <c r="H121" s="54">
        <v>16072454000</v>
      </c>
      <c r="I121" s="65">
        <v>0.2116946180968437</v>
      </c>
      <c r="J121" s="162">
        <v>9.4062826617117654</v>
      </c>
    </row>
    <row r="122" spans="1:10" hidden="1">
      <c r="A122" s="64">
        <v>2027</v>
      </c>
      <c r="B122" s="150">
        <v>-0.33</v>
      </c>
      <c r="C122" s="159">
        <v>1</v>
      </c>
      <c r="D122" s="152">
        <v>787878787.87878788</v>
      </c>
      <c r="E122" s="26">
        <f>VLOOKUP(2027,季財報!$A:$H,8,0)</f>
        <v>1</v>
      </c>
      <c r="F122" s="159">
        <v>-1.1166666666666675E-3</v>
      </c>
      <c r="G122" s="152">
        <v>10951515151.515152</v>
      </c>
      <c r="H122" s="152">
        <v>51156758000</v>
      </c>
      <c r="I122" s="150">
        <v>0.21312525439431501</v>
      </c>
      <c r="J122" s="152">
        <v>0</v>
      </c>
    </row>
    <row r="123" spans="1:10" hidden="1">
      <c r="A123" s="64">
        <v>2392</v>
      </c>
      <c r="B123" s="150">
        <v>2</v>
      </c>
      <c r="C123" s="159">
        <v>0</v>
      </c>
      <c r="D123" s="152">
        <v>512500000</v>
      </c>
      <c r="E123" s="26">
        <f>VLOOKUP(2392,季財報!$A:$H,8,0)</f>
        <v>3</v>
      </c>
      <c r="F123" s="159">
        <v>3.2300000000000002E-2</v>
      </c>
      <c r="G123" s="152">
        <v>23165000000</v>
      </c>
      <c r="H123" s="152">
        <v>109404014000</v>
      </c>
      <c r="I123" s="150">
        <v>0.21485000974407167</v>
      </c>
      <c r="J123" s="152">
        <v>0</v>
      </c>
    </row>
    <row r="124" spans="1:10" hidden="1">
      <c r="A124" s="64">
        <v>2331</v>
      </c>
      <c r="B124" s="150">
        <v>0.85</v>
      </c>
      <c r="C124" s="159">
        <v>0.73248407643312097</v>
      </c>
      <c r="D124" s="152">
        <v>555294117.64705884</v>
      </c>
      <c r="E124" s="26">
        <f>VLOOKUP(2331,季財報!$A:$H,8,0)</f>
        <v>4</v>
      </c>
      <c r="F124" s="159">
        <v>5.574999999999994E-3</v>
      </c>
      <c r="G124" s="152">
        <v>11522352941.176472</v>
      </c>
      <c r="H124" s="152">
        <v>51178603000</v>
      </c>
      <c r="I124" s="150">
        <v>0.21638934656299888</v>
      </c>
      <c r="J124" s="152">
        <v>8.3318414322250653</v>
      </c>
    </row>
    <row r="125" spans="1:10" hidden="1">
      <c r="A125" s="64">
        <v>2609</v>
      </c>
      <c r="B125" s="150">
        <v>-1.22</v>
      </c>
      <c r="C125" s="159">
        <v>0.7617813383600377</v>
      </c>
      <c r="D125" s="152">
        <v>3468852459.0163937</v>
      </c>
      <c r="E125" s="26">
        <f>VLOOKUP(2609,季財報!$A:$H,8,0)</f>
        <v>1</v>
      </c>
      <c r="F125" s="159">
        <v>-7.1083333333333337E-3</v>
      </c>
      <c r="G125" s="152">
        <v>28583344262.295086</v>
      </c>
      <c r="H125" s="152">
        <v>129557194000</v>
      </c>
      <c r="I125" s="150">
        <v>0.21849795873395175</v>
      </c>
      <c r="J125" s="152">
        <v>0</v>
      </c>
    </row>
    <row r="126" spans="1:10" hidden="1">
      <c r="A126" s="64">
        <v>5371</v>
      </c>
      <c r="B126" s="52">
        <v>1.27</v>
      </c>
      <c r="C126" s="160">
        <v>0.65109343936381714</v>
      </c>
      <c r="D126" s="157">
        <v>542519685.03937006</v>
      </c>
      <c r="E126" s="26">
        <f>VLOOKUP(5371,季財報!$A:$H,8,0)</f>
        <v>1</v>
      </c>
      <c r="F126" s="160">
        <v>-2.9833333333333309E-3</v>
      </c>
      <c r="G126" s="54">
        <v>15407559055.118109</v>
      </c>
      <c r="H126" s="54">
        <v>69100973000</v>
      </c>
      <c r="I126" s="65">
        <v>0.22086161998690459</v>
      </c>
      <c r="J126" s="162">
        <v>8.5864037987617952</v>
      </c>
    </row>
    <row r="127" spans="1:10" hidden="1">
      <c r="A127" s="64">
        <v>8043</v>
      </c>
      <c r="B127" s="52">
        <v>1.06</v>
      </c>
      <c r="C127" s="160">
        <v>0.2808988764044944</v>
      </c>
      <c r="D127" s="157">
        <v>79245283.018867925</v>
      </c>
      <c r="E127" s="26">
        <f>VLOOKUP(8043,季財報!$A:$H,8,0)</f>
        <v>3</v>
      </c>
      <c r="F127" s="160">
        <v>3.4533333333333326E-2</v>
      </c>
      <c r="G127" s="54">
        <v>1164905660.3773584</v>
      </c>
      <c r="H127" s="54">
        <v>5242665000</v>
      </c>
      <c r="I127" s="65">
        <v>0.22385772110860216</v>
      </c>
      <c r="J127" s="162">
        <v>12.342452830188677</v>
      </c>
    </row>
    <row r="128" spans="1:10" hidden="1">
      <c r="A128" s="149">
        <v>2023</v>
      </c>
      <c r="B128" s="155">
        <v>-0.26</v>
      </c>
      <c r="C128" s="159">
        <v>0</v>
      </c>
      <c r="D128" s="156">
        <v>1711538461.5384614</v>
      </c>
      <c r="E128" s="26">
        <f>VLOOKUP(2023,季財報!$A:$H,8,0)</f>
        <v>0</v>
      </c>
      <c r="F128" s="159">
        <v>-2.7991666666666665E-2</v>
      </c>
      <c r="G128" s="156">
        <v>11878076923.076923</v>
      </c>
      <c r="H128" s="156">
        <v>51335937000</v>
      </c>
      <c r="I128" s="155">
        <v>0.22419763743269439</v>
      </c>
      <c r="J128" s="156">
        <v>0</v>
      </c>
    </row>
    <row r="129" spans="1:10" hidden="1">
      <c r="A129" s="64">
        <v>1512</v>
      </c>
      <c r="B129" s="150">
        <v>-0.04</v>
      </c>
      <c r="C129" s="159">
        <v>1</v>
      </c>
      <c r="D129" s="152">
        <v>175000000</v>
      </c>
      <c r="E129" s="26">
        <f>VLOOKUP(1512,季財報!$A:$H,8,0)</f>
        <v>5</v>
      </c>
      <c r="F129" s="159">
        <v>5.5849999999999983E-2</v>
      </c>
      <c r="G129" s="152">
        <v>896000000</v>
      </c>
      <c r="H129" s="152">
        <v>4101995000</v>
      </c>
      <c r="I129" s="150">
        <v>0.22502538442045791</v>
      </c>
      <c r="J129" s="152">
        <v>0</v>
      </c>
    </row>
    <row r="130" spans="1:10" hidden="1">
      <c r="A130" s="64">
        <v>2409</v>
      </c>
      <c r="B130" s="150">
        <v>0.36</v>
      </c>
      <c r="C130" s="159">
        <v>0.98554913294797686</v>
      </c>
      <c r="D130" s="152">
        <v>9619444444.4444447</v>
      </c>
      <c r="E130" s="26">
        <f>VLOOKUP(2409,季財報!$A:$H,8,0)</f>
        <v>1</v>
      </c>
      <c r="F130" s="159">
        <v>-1.1991666666666664E-2</v>
      </c>
      <c r="G130" s="152">
        <v>84362527777.777771</v>
      </c>
      <c r="H130" s="152">
        <v>368268124000</v>
      </c>
      <c r="I130" s="150">
        <v>0.22523625965029831</v>
      </c>
      <c r="J130" s="152">
        <v>6.1795780384490069</v>
      </c>
    </row>
    <row r="131" spans="1:10" hidden="1">
      <c r="A131" s="64">
        <v>6196</v>
      </c>
      <c r="B131" s="52">
        <v>1.19</v>
      </c>
      <c r="C131" s="160">
        <v>0.71014492753623193</v>
      </c>
      <c r="D131" s="157">
        <v>165546218.48739496</v>
      </c>
      <c r="E131" s="26">
        <f>VLOOKUP(6196,季財報!$A:$H,8,0)</f>
        <v>3</v>
      </c>
      <c r="F131" s="160">
        <v>4.4508333333333323E-2</v>
      </c>
      <c r="G131" s="54">
        <v>4171764705.8823528</v>
      </c>
      <c r="H131" s="54">
        <v>18201236000</v>
      </c>
      <c r="I131" s="65">
        <v>0.23130161435024438</v>
      </c>
      <c r="J131" s="162">
        <v>7.4549819927971184</v>
      </c>
    </row>
    <row r="132" spans="1:10" hidden="1">
      <c r="A132" s="64">
        <v>2013</v>
      </c>
      <c r="B132" s="150">
        <v>0.24</v>
      </c>
      <c r="C132" s="159">
        <v>0.70408163265306123</v>
      </c>
      <c r="D132" s="152">
        <v>191666666.66666669</v>
      </c>
      <c r="E132" s="26">
        <f>VLOOKUP(2013,季財報!$A:$H,8,0)</f>
        <v>0</v>
      </c>
      <c r="F132" s="159">
        <v>3.7424999999999993E-2</v>
      </c>
      <c r="G132" s="152">
        <v>3603333333.333334</v>
      </c>
      <c r="H132" s="152">
        <v>15784898000</v>
      </c>
      <c r="I132" s="150">
        <v>0.23313771116782481</v>
      </c>
      <c r="J132" s="152">
        <v>27.814009661835751</v>
      </c>
    </row>
    <row r="133" spans="1:10" hidden="1">
      <c r="A133" s="64">
        <v>1616</v>
      </c>
      <c r="B133" s="150">
        <v>-0.5</v>
      </c>
      <c r="C133" s="159">
        <v>0.25170068027210885</v>
      </c>
      <c r="D133" s="152">
        <v>190000000</v>
      </c>
      <c r="E133" s="26">
        <f>VLOOKUP(1616,季財報!$A:$H,8,0)</f>
        <v>1</v>
      </c>
      <c r="F133" s="159">
        <v>-1.3200000000000002E-2</v>
      </c>
      <c r="G133" s="152">
        <v>834099999.99999988</v>
      </c>
      <c r="H133" s="152">
        <v>3479042000</v>
      </c>
      <c r="I133" s="150">
        <v>0.23353548249813808</v>
      </c>
      <c r="J133" s="152">
        <v>0</v>
      </c>
    </row>
    <row r="134" spans="1:10" hidden="1">
      <c r="A134" s="64">
        <v>3673</v>
      </c>
      <c r="B134" s="150">
        <v>-55.15</v>
      </c>
      <c r="C134" s="159">
        <v>0.95716713314674129</v>
      </c>
      <c r="D134" s="152">
        <v>351586582.04895741</v>
      </c>
      <c r="E134" s="26">
        <f>VLOOKUP(3673,季財報!$A:$H,8,0)</f>
        <v>3</v>
      </c>
      <c r="F134" s="159">
        <v>2.3041666666666658E-2</v>
      </c>
      <c r="G134" s="152">
        <v>29884859474.161381</v>
      </c>
      <c r="H134" s="152">
        <v>126844091000</v>
      </c>
      <c r="I134" s="150">
        <v>0.23412970351559395</v>
      </c>
      <c r="J134" s="152">
        <v>0</v>
      </c>
    </row>
    <row r="135" spans="1:10" hidden="1">
      <c r="A135" s="64">
        <v>1313</v>
      </c>
      <c r="B135" s="150">
        <v>-0.21</v>
      </c>
      <c r="C135" s="159">
        <v>0.11842105263157894</v>
      </c>
      <c r="D135" s="152">
        <v>1171428571.4285715</v>
      </c>
      <c r="E135" s="26">
        <f>VLOOKUP(1313,季財報!$A:$H,8,0)</f>
        <v>0</v>
      </c>
      <c r="F135" s="159">
        <v>1.0433333333333343E-2</v>
      </c>
      <c r="G135" s="152">
        <v>10718571428.57143</v>
      </c>
      <c r="H135" s="152">
        <v>44646108000</v>
      </c>
      <c r="I135" s="150">
        <v>0.23454464131640998</v>
      </c>
      <c r="J135" s="152">
        <v>0</v>
      </c>
    </row>
    <row r="136" spans="1:10" hidden="1">
      <c r="A136" s="64">
        <v>1449</v>
      </c>
      <c r="B136" s="150">
        <v>-0.55000000000000004</v>
      </c>
      <c r="C136" s="159">
        <v>1</v>
      </c>
      <c r="D136" s="152">
        <v>118181818.18181817</v>
      </c>
      <c r="E136" s="26">
        <f>VLOOKUP(1449,季財報!$A:$H,8,0)</f>
        <v>1</v>
      </c>
      <c r="F136" s="159">
        <v>3.208333333333336E-3</v>
      </c>
      <c r="G136" s="152">
        <v>732727272.72727275</v>
      </c>
      <c r="H136" s="152">
        <v>3052588000</v>
      </c>
      <c r="I136" s="150">
        <v>0.23487799516069735</v>
      </c>
      <c r="J136" s="152">
        <v>0</v>
      </c>
    </row>
    <row r="137" spans="1:10" hidden="1">
      <c r="A137" s="64">
        <v>6276</v>
      </c>
      <c r="B137" s="52">
        <v>-0.62</v>
      </c>
      <c r="C137" s="160">
        <v>1</v>
      </c>
      <c r="D137" s="157">
        <v>43548387.096774191</v>
      </c>
      <c r="E137" s="26">
        <f>VLOOKUP(6276,季財報!$A:$H,8,0)</f>
        <v>2</v>
      </c>
      <c r="F137" s="160">
        <v>1.0933333333333331E-2</v>
      </c>
      <c r="G137" s="54">
        <v>312241935.48387092</v>
      </c>
      <c r="H137" s="54">
        <v>1321150000</v>
      </c>
      <c r="I137" s="65">
        <v>0.23502920194431634</v>
      </c>
      <c r="J137" s="162">
        <v>0</v>
      </c>
    </row>
    <row r="138" spans="1:10" hidden="1">
      <c r="A138" s="64">
        <v>8171</v>
      </c>
      <c r="B138" s="52">
        <v>0.24</v>
      </c>
      <c r="C138" s="160">
        <v>1</v>
      </c>
      <c r="D138" s="157">
        <v>50000000</v>
      </c>
      <c r="E138" s="26">
        <f>VLOOKUP(8171,季財報!$A:$H,8,0)</f>
        <v>2</v>
      </c>
      <c r="F138" s="160">
        <v>-5.3916666666666601E-3</v>
      </c>
      <c r="G138" s="54">
        <v>580000000</v>
      </c>
      <c r="H138" s="54">
        <v>2350131000</v>
      </c>
      <c r="I138" s="65">
        <v>0.23617462262960082</v>
      </c>
      <c r="J138" s="162">
        <v>12.083333333333334</v>
      </c>
    </row>
    <row r="139" spans="1:10" hidden="1">
      <c r="A139" s="64">
        <v>1626</v>
      </c>
      <c r="B139" s="150">
        <v>-1.1399999999999999</v>
      </c>
      <c r="C139" s="159">
        <v>0</v>
      </c>
      <c r="D139" s="152">
        <v>122807017.54385966</v>
      </c>
      <c r="E139" s="26">
        <f>VLOOKUP(1626,季財報!$A:$H,8,0)</f>
        <v>0</v>
      </c>
      <c r="F139" s="159">
        <v>0.17984166666666668</v>
      </c>
      <c r="G139" s="152">
        <v>2646491228.0701756</v>
      </c>
      <c r="H139" s="152">
        <v>11082709000</v>
      </c>
      <c r="I139" s="150">
        <v>0.23850202640159726</v>
      </c>
      <c r="J139" s="152">
        <v>0</v>
      </c>
    </row>
    <row r="140" spans="1:10" hidden="1">
      <c r="A140" s="64">
        <v>3483</v>
      </c>
      <c r="B140" s="150">
        <v>0.14000000000000001</v>
      </c>
      <c r="C140" s="159">
        <v>1</v>
      </c>
      <c r="D140" s="152">
        <v>49999999.999999993</v>
      </c>
      <c r="E140" s="26">
        <f>VLOOKUP(3483,季財報!$A:$H,8,0)</f>
        <v>3</v>
      </c>
      <c r="F140" s="159">
        <v>2.2083333333333326E-2</v>
      </c>
      <c r="G140" s="152">
        <v>652499999.99999988</v>
      </c>
      <c r="H140" s="152">
        <v>2748154000</v>
      </c>
      <c r="I140" s="150">
        <v>0.23866444474031109</v>
      </c>
      <c r="J140" s="152">
        <v>23.303571428571427</v>
      </c>
    </row>
    <row r="141" spans="1:10" hidden="1">
      <c r="A141" s="64">
        <v>2332</v>
      </c>
      <c r="B141" s="150">
        <v>-0.81</v>
      </c>
      <c r="C141" s="159">
        <v>0.70606060606060606</v>
      </c>
      <c r="D141" s="152">
        <v>651851851.85185182</v>
      </c>
      <c r="E141" s="26">
        <f>VLOOKUP(2332,季財報!$A:$H,8,0)</f>
        <v>2</v>
      </c>
      <c r="F141" s="159">
        <v>-9.3500000000000007E-3</v>
      </c>
      <c r="G141" s="152">
        <v>6681481481.4814816</v>
      </c>
      <c r="H141" s="152">
        <v>27411951000</v>
      </c>
      <c r="I141" s="150">
        <v>0.23866686394520373</v>
      </c>
      <c r="J141" s="152">
        <v>0</v>
      </c>
    </row>
    <row r="142" spans="1:10" hidden="1">
      <c r="A142" s="64">
        <v>3701</v>
      </c>
      <c r="B142" s="150">
        <v>-0.1</v>
      </c>
      <c r="C142" s="159">
        <v>1</v>
      </c>
      <c r="D142" s="152">
        <v>350000000</v>
      </c>
      <c r="E142" s="26">
        <f>VLOOKUP(3701,季財報!$A:$H,8,0)</f>
        <v>2</v>
      </c>
      <c r="F142" s="159">
        <v>1.4966666666666665E-2</v>
      </c>
      <c r="G142" s="152">
        <v>3150000000</v>
      </c>
      <c r="H142" s="152">
        <v>13124119000</v>
      </c>
      <c r="I142" s="150">
        <v>0.23982146319871125</v>
      </c>
      <c r="J142" s="152">
        <v>0</v>
      </c>
    </row>
    <row r="143" spans="1:10" hidden="1">
      <c r="A143" s="64">
        <v>5488</v>
      </c>
      <c r="B143" s="52">
        <v>-0.42</v>
      </c>
      <c r="C143" s="160">
        <v>1</v>
      </c>
      <c r="D143" s="157">
        <v>90476190.476190478</v>
      </c>
      <c r="E143" s="26">
        <f>VLOOKUP(5488,季財報!$A:$H,8,0)</f>
        <v>2</v>
      </c>
      <c r="F143" s="160">
        <v>6.6925000000000012E-2</v>
      </c>
      <c r="G143" s="54">
        <v>485857142.85714287</v>
      </c>
      <c r="H143" s="54">
        <v>2000933000</v>
      </c>
      <c r="I143" s="65">
        <v>0.24078211922672479</v>
      </c>
      <c r="J143" s="162">
        <v>0</v>
      </c>
    </row>
    <row r="144" spans="1:10" hidden="1">
      <c r="A144" s="64">
        <v>5452</v>
      </c>
      <c r="B144" s="52">
        <v>0.28999999999999998</v>
      </c>
      <c r="C144" s="160">
        <v>0.80555555555555558</v>
      </c>
      <c r="D144" s="157">
        <v>148275862.06896552</v>
      </c>
      <c r="E144" s="26">
        <f>VLOOKUP(5452,季財報!$A:$H,8,0)</f>
        <v>1</v>
      </c>
      <c r="F144" s="160">
        <v>5.8916666666666631E-3</v>
      </c>
      <c r="G144" s="54">
        <v>1368586206.8965518</v>
      </c>
      <c r="H144" s="54">
        <v>5666795000</v>
      </c>
      <c r="I144" s="65">
        <v>0.24142981783500081</v>
      </c>
      <c r="J144" s="162">
        <v>9.8775267538644478</v>
      </c>
    </row>
    <row r="145" spans="1:10" hidden="1">
      <c r="A145" s="64">
        <v>4402</v>
      </c>
      <c r="B145" s="52">
        <v>-1.28</v>
      </c>
      <c r="C145" s="160">
        <v>0.71296296296296291</v>
      </c>
      <c r="D145" s="157">
        <v>46093750</v>
      </c>
      <c r="E145" s="26">
        <f>VLOOKUP(4402,季財報!$A:$H,8,0)</f>
        <v>2</v>
      </c>
      <c r="F145" s="160">
        <v>0.24212500000000001</v>
      </c>
      <c r="G145" s="54">
        <v>259046875</v>
      </c>
      <c r="H145" s="54">
        <v>1054298000</v>
      </c>
      <c r="I145" s="65">
        <v>0.24183025374512343</v>
      </c>
      <c r="J145" s="162">
        <v>0</v>
      </c>
    </row>
    <row r="146" spans="1:10" hidden="1">
      <c r="A146" s="64">
        <v>3481</v>
      </c>
      <c r="B146" s="150">
        <v>0.35</v>
      </c>
      <c r="C146" s="159">
        <v>1</v>
      </c>
      <c r="D146" s="152">
        <v>9948571428.5714283</v>
      </c>
      <c r="E146" s="26">
        <f>VLOOKUP(3481,季財報!$A:$H,8,0)</f>
        <v>1</v>
      </c>
      <c r="F146" s="159">
        <v>-2.4341666666666668E-2</v>
      </c>
      <c r="G146" s="152">
        <v>95008857142.857147</v>
      </c>
      <c r="H146" s="152">
        <v>375918806000</v>
      </c>
      <c r="I146" s="150">
        <v>0.24429051134043223</v>
      </c>
      <c r="J146" s="152">
        <v>6.8214285714285721</v>
      </c>
    </row>
    <row r="147" spans="1:10" hidden="1">
      <c r="A147" s="64">
        <v>6108</v>
      </c>
      <c r="B147" s="52">
        <v>-0.82</v>
      </c>
      <c r="C147" s="160">
        <v>0</v>
      </c>
      <c r="D147" s="157">
        <v>160975609.75609758</v>
      </c>
      <c r="E147" s="26">
        <f>VLOOKUP(6108,季財報!$A:$H,8,0)</f>
        <v>1</v>
      </c>
      <c r="F147" s="160">
        <v>4.0000000000000002E-4</v>
      </c>
      <c r="G147" s="54">
        <v>1947804878.0487807</v>
      </c>
      <c r="H147" s="54">
        <v>7880220000</v>
      </c>
      <c r="I147" s="65">
        <v>0.2460593560240279</v>
      </c>
      <c r="J147" s="162">
        <v>0</v>
      </c>
    </row>
    <row r="148" spans="1:10" hidden="1">
      <c r="A148" s="64">
        <v>6154</v>
      </c>
      <c r="B148" s="52">
        <v>0.33</v>
      </c>
      <c r="C148" s="160">
        <v>0.93333333333333335</v>
      </c>
      <c r="D148" s="157">
        <v>78787878.787878782</v>
      </c>
      <c r="E148" s="26">
        <f>VLOOKUP(6154,季財報!$A:$H,8,0)</f>
        <v>2</v>
      </c>
      <c r="F148" s="160">
        <v>-1.2000000000000021E-3</v>
      </c>
      <c r="G148" s="54">
        <v>1296060606.060606</v>
      </c>
      <c r="H148" s="54">
        <v>5222493000</v>
      </c>
      <c r="I148" s="65">
        <v>0.24666463648463871</v>
      </c>
      <c r="J148" s="162">
        <v>13.352272727272727</v>
      </c>
    </row>
    <row r="149" spans="1:10" hidden="1">
      <c r="A149" s="64">
        <v>6156</v>
      </c>
      <c r="B149" s="52">
        <v>0.51</v>
      </c>
      <c r="C149" s="160">
        <v>0</v>
      </c>
      <c r="D149" s="157">
        <v>78431372.549019605</v>
      </c>
      <c r="E149" s="26">
        <f>VLOOKUP(6156,季財報!$A:$H,8,0)</f>
        <v>2</v>
      </c>
      <c r="F149" s="160">
        <v>-7.7166666666666677E-3</v>
      </c>
      <c r="G149" s="54">
        <v>1031372549.0196078</v>
      </c>
      <c r="H149" s="54">
        <v>4088595000</v>
      </c>
      <c r="I149" s="65">
        <v>0.24773832453902314</v>
      </c>
      <c r="J149" s="162">
        <v>0</v>
      </c>
    </row>
    <row r="150" spans="1:10" hidden="1">
      <c r="A150" s="64">
        <v>6251</v>
      </c>
      <c r="B150" s="52">
        <v>0.17</v>
      </c>
      <c r="C150" s="160">
        <v>1</v>
      </c>
      <c r="D150" s="157">
        <v>294117647.05882353</v>
      </c>
      <c r="E150" s="26">
        <f>VLOOKUP(6251,季財報!$A:$H,8,0)</f>
        <v>2</v>
      </c>
      <c r="F150" s="160">
        <v>1.615833333333333E-2</v>
      </c>
      <c r="G150" s="54">
        <v>2732352941.1764703</v>
      </c>
      <c r="H150" s="54">
        <v>11007926000</v>
      </c>
      <c r="I150" s="65">
        <v>0.25077061079871049</v>
      </c>
      <c r="J150" s="162">
        <v>13.661764705882351</v>
      </c>
    </row>
    <row r="151" spans="1:10" hidden="1">
      <c r="A151" s="64">
        <v>6113</v>
      </c>
      <c r="B151" s="52">
        <v>-0.36</v>
      </c>
      <c r="C151" s="160">
        <v>0.75510204081632648</v>
      </c>
      <c r="D151" s="157">
        <v>50000000</v>
      </c>
      <c r="E151" s="26">
        <f>VLOOKUP(6113,季財報!$A:$H,8,0)</f>
        <v>2</v>
      </c>
      <c r="F151" s="160">
        <v>6.6166666666666679E-2</v>
      </c>
      <c r="G151" s="54">
        <v>412500000</v>
      </c>
      <c r="H151" s="54">
        <v>1692390000</v>
      </c>
      <c r="I151" s="65">
        <v>0.25143362883642001</v>
      </c>
      <c r="J151" s="162">
        <v>0</v>
      </c>
    </row>
    <row r="152" spans="1:10" hidden="1">
      <c r="A152" s="64">
        <v>2032</v>
      </c>
      <c r="B152" s="150">
        <v>-0.01</v>
      </c>
      <c r="C152" s="159">
        <v>0</v>
      </c>
      <c r="D152" s="152">
        <v>100000000</v>
      </c>
      <c r="E152" s="26">
        <f>VLOOKUP(2032,季財報!$A:$H,8,0)</f>
        <v>3</v>
      </c>
      <c r="F152" s="159">
        <v>-7.2583333333333389E-3</v>
      </c>
      <c r="G152" s="152">
        <v>801000000</v>
      </c>
      <c r="H152" s="152">
        <v>3100527000</v>
      </c>
      <c r="I152" s="150">
        <v>0.25240676626597747</v>
      </c>
      <c r="J152" s="152">
        <v>0</v>
      </c>
    </row>
    <row r="153" spans="1:10" hidden="1">
      <c r="A153" s="64">
        <v>2022</v>
      </c>
      <c r="B153" s="150">
        <v>-0.36</v>
      </c>
      <c r="C153" s="159">
        <v>0.42662116040955633</v>
      </c>
      <c r="D153" s="152">
        <v>541666666.66666675</v>
      </c>
      <c r="E153" s="26">
        <f>VLOOKUP(2022,季財報!$A:$H,8,0)</f>
        <v>1</v>
      </c>
      <c r="F153" s="159">
        <v>-1.2766666666666669E-2</v>
      </c>
      <c r="G153" s="152">
        <v>2107083333.3333337</v>
      </c>
      <c r="H153" s="152">
        <v>8141200000</v>
      </c>
      <c r="I153" s="150">
        <v>0.25396493654723479</v>
      </c>
      <c r="J153" s="152">
        <v>0</v>
      </c>
    </row>
    <row r="154" spans="1:10" hidden="1">
      <c r="A154" s="64">
        <v>3058</v>
      </c>
      <c r="B154" s="150">
        <v>7.0000000000000007E-2</v>
      </c>
      <c r="C154" s="159">
        <v>0.84210526315789469</v>
      </c>
      <c r="D154" s="152">
        <v>157142857.14285713</v>
      </c>
      <c r="E154" s="26">
        <f>VLOOKUP(3058,季財報!$A:$H,8,0)</f>
        <v>1</v>
      </c>
      <c r="F154" s="159">
        <v>1.3666666666666662E-2</v>
      </c>
      <c r="G154" s="152">
        <v>1346714285.7142856</v>
      </c>
      <c r="H154" s="152">
        <v>5263070000</v>
      </c>
      <c r="I154" s="150">
        <v>0.25433390148150914</v>
      </c>
      <c r="J154" s="152">
        <v>36.345982142857139</v>
      </c>
    </row>
    <row r="155" spans="1:10" hidden="1">
      <c r="A155" s="64">
        <v>9934</v>
      </c>
      <c r="B155" s="52">
        <v>0.36</v>
      </c>
      <c r="C155" s="160">
        <v>0.3987915407854985</v>
      </c>
      <c r="D155" s="157">
        <v>358333333.33333337</v>
      </c>
      <c r="E155" s="26">
        <f>VLOOKUP(9934,季財報!$A:$H,8,0)</f>
        <v>3</v>
      </c>
      <c r="F155" s="160">
        <v>1.8983333333333335E-2</v>
      </c>
      <c r="G155" s="54">
        <v>5070416666.666667</v>
      </c>
      <c r="H155" s="54">
        <v>20008311000</v>
      </c>
      <c r="I155" s="65">
        <v>0.25652045527711631</v>
      </c>
      <c r="J155" s="162">
        <v>24.640414562289561</v>
      </c>
    </row>
    <row r="156" spans="1:10" hidden="1">
      <c r="A156" s="64">
        <v>6227</v>
      </c>
      <c r="B156" s="52">
        <v>0.54</v>
      </c>
      <c r="C156" s="160">
        <v>1</v>
      </c>
      <c r="D156" s="157">
        <v>75925925.925925925</v>
      </c>
      <c r="E156" s="26">
        <f>VLOOKUP(6227,季財報!$A:$H,8,0)</f>
        <v>2</v>
      </c>
      <c r="F156" s="160">
        <v>8.0475000000000005E-2</v>
      </c>
      <c r="G156" s="54">
        <v>1294537037.0370371</v>
      </c>
      <c r="H156" s="54">
        <v>5338222000</v>
      </c>
      <c r="I156" s="65">
        <v>0.25681192482560045</v>
      </c>
      <c r="J156" s="162">
        <v>7.8935185185185182</v>
      </c>
    </row>
    <row r="157" spans="1:10" hidden="1">
      <c r="A157" s="64">
        <v>1712</v>
      </c>
      <c r="B157" s="150">
        <v>0.05</v>
      </c>
      <c r="C157" s="159">
        <v>0.74590163934426235</v>
      </c>
      <c r="D157" s="152">
        <v>340000000</v>
      </c>
      <c r="E157" s="26">
        <f>VLOOKUP(1712,季財報!$A:$H,8,0)</f>
        <v>2</v>
      </c>
      <c r="F157" s="159">
        <v>1.0883333333333337E-2</v>
      </c>
      <c r="G157" s="152">
        <v>4556000000</v>
      </c>
      <c r="H157" s="152">
        <v>17594048000</v>
      </c>
      <c r="I157" s="150">
        <v>0.25893416649967044</v>
      </c>
      <c r="J157" s="152">
        <v>50</v>
      </c>
    </row>
    <row r="158" spans="1:10" hidden="1">
      <c r="A158" s="64">
        <v>4906</v>
      </c>
      <c r="B158" s="52">
        <v>0.5</v>
      </c>
      <c r="C158" s="160">
        <v>0.18124999999999999</v>
      </c>
      <c r="D158" s="157">
        <v>298000000</v>
      </c>
      <c r="E158" s="26">
        <f>VLOOKUP(4906,季財報!$A:$H,8,0)</f>
        <v>4</v>
      </c>
      <c r="F158" s="160">
        <v>-1.3750000000000036E-3</v>
      </c>
      <c r="G158" s="54">
        <v>4708400000</v>
      </c>
      <c r="H158" s="54">
        <v>17829129000</v>
      </c>
      <c r="I158" s="65">
        <v>0.25968012200619717</v>
      </c>
      <c r="J158" s="162">
        <v>43.58620689655173</v>
      </c>
    </row>
    <row r="159" spans="1:10" hidden="1">
      <c r="A159" s="64">
        <v>3010</v>
      </c>
      <c r="B159" s="150">
        <v>1.24</v>
      </c>
      <c r="C159" s="159">
        <v>0.6470588235294118</v>
      </c>
      <c r="D159" s="152">
        <v>230645161.29032257</v>
      </c>
      <c r="E159" s="26">
        <f>VLOOKUP(3010,季財報!$A:$H,8,0)</f>
        <v>1</v>
      </c>
      <c r="F159" s="159">
        <v>1.925E-2</v>
      </c>
      <c r="G159" s="152">
        <v>10229112903.225807</v>
      </c>
      <c r="H159" s="152">
        <v>39817818000</v>
      </c>
      <c r="I159" s="150">
        <v>0.25968514502936174</v>
      </c>
      <c r="J159" s="152">
        <v>13.818731671554252</v>
      </c>
    </row>
    <row r="160" spans="1:10" hidden="1">
      <c r="A160" s="64">
        <v>1304</v>
      </c>
      <c r="B160" s="150">
        <v>0.13</v>
      </c>
      <c r="C160" s="159">
        <v>0.62114537444933926</v>
      </c>
      <c r="D160" s="152">
        <v>1061538461.5384614</v>
      </c>
      <c r="E160" s="26">
        <f>VLOOKUP(1304,季財報!$A:$H,8,0)</f>
        <v>1</v>
      </c>
      <c r="F160" s="159">
        <v>9.1666666666666372E-4</v>
      </c>
      <c r="G160" s="152">
        <v>13746923076.923075</v>
      </c>
      <c r="H160" s="152">
        <v>52523682000</v>
      </c>
      <c r="I160" s="150">
        <v>0.26069634393136637</v>
      </c>
      <c r="J160" s="152">
        <v>40.093426077468628</v>
      </c>
    </row>
    <row r="161" spans="1:10" hidden="1">
      <c r="A161" s="64">
        <v>3202</v>
      </c>
      <c r="B161" s="150">
        <v>0.05</v>
      </c>
      <c r="C161" s="159">
        <v>1</v>
      </c>
      <c r="D161" s="152">
        <v>100000000</v>
      </c>
      <c r="E161" s="26">
        <f>VLOOKUP(3202,季財報!$A:$H,8,0)</f>
        <v>2</v>
      </c>
      <c r="F161" s="159">
        <v>7.4500000000000018E-3</v>
      </c>
      <c r="G161" s="152">
        <v>604000000</v>
      </c>
      <c r="H161" s="152">
        <v>2298592000</v>
      </c>
      <c r="I161" s="150">
        <v>0.26193052336233796</v>
      </c>
      <c r="J161" s="152">
        <v>30.2</v>
      </c>
    </row>
    <row r="162" spans="1:10" hidden="1">
      <c r="A162" s="64">
        <v>2368</v>
      </c>
      <c r="B162" s="150">
        <v>-0.04</v>
      </c>
      <c r="C162" s="159">
        <v>0</v>
      </c>
      <c r="D162" s="152">
        <v>550000000</v>
      </c>
      <c r="E162" s="26">
        <f>VLOOKUP(2368,季財報!$A:$H,8,0)</f>
        <v>2</v>
      </c>
      <c r="F162" s="159">
        <v>-1.1675E-2</v>
      </c>
      <c r="G162" s="152">
        <v>5412000000</v>
      </c>
      <c r="H162" s="152">
        <v>20009323000</v>
      </c>
      <c r="I162" s="150">
        <v>0.26621430566419635</v>
      </c>
      <c r="J162" s="152">
        <v>0</v>
      </c>
    </row>
    <row r="163" spans="1:10" hidden="1">
      <c r="A163" s="64">
        <v>3322</v>
      </c>
      <c r="B163" s="150">
        <v>-0.02</v>
      </c>
      <c r="C163" s="159">
        <v>1</v>
      </c>
      <c r="D163" s="152">
        <v>50000000</v>
      </c>
      <c r="E163" s="26">
        <f>VLOOKUP(3322,季財報!$A:$H,8,0)</f>
        <v>1</v>
      </c>
      <c r="F163" s="159">
        <v>2.4750000000000005E-2</v>
      </c>
      <c r="G163" s="152">
        <v>560000000</v>
      </c>
      <c r="H163" s="152">
        <v>2134241000</v>
      </c>
      <c r="I163" s="150">
        <v>0.26660725133636887</v>
      </c>
      <c r="J163" s="152">
        <v>0</v>
      </c>
    </row>
    <row r="164" spans="1:10" hidden="1">
      <c r="A164" s="64">
        <v>6161</v>
      </c>
      <c r="B164" s="52">
        <v>0.35</v>
      </c>
      <c r="C164" s="160">
        <v>0.4</v>
      </c>
      <c r="D164" s="157">
        <v>120000000.00000001</v>
      </c>
      <c r="E164" s="26">
        <f>VLOOKUP(6161,季財報!$A:$H,8,0)</f>
        <v>2</v>
      </c>
      <c r="F164" s="160">
        <v>-4.1649999999999993E-2</v>
      </c>
      <c r="G164" s="54">
        <v>836400000.00000012</v>
      </c>
      <c r="H164" s="54">
        <v>2953203000</v>
      </c>
      <c r="I164" s="65">
        <v>0.26698357399840467</v>
      </c>
      <c r="J164" s="162">
        <v>12.446428571428573</v>
      </c>
    </row>
    <row r="165" spans="1:10" hidden="1">
      <c r="A165" s="64">
        <v>5381</v>
      </c>
      <c r="B165" s="52">
        <v>-1.28</v>
      </c>
      <c r="C165" s="160">
        <v>0.87535410764872523</v>
      </c>
      <c r="D165" s="157">
        <v>187500000</v>
      </c>
      <c r="E165" s="26">
        <f>VLOOKUP(5381,季財報!$A:$H,8,0)</f>
        <v>1</v>
      </c>
      <c r="F165" s="160">
        <v>-4.4116666666666665E-2</v>
      </c>
      <c r="G165" s="54">
        <v>303750000</v>
      </c>
      <c r="H165" s="54">
        <v>1049272000</v>
      </c>
      <c r="I165" s="65">
        <v>0.27077405275881988</v>
      </c>
      <c r="J165" s="162">
        <v>0</v>
      </c>
    </row>
    <row r="166" spans="1:10" hidden="1">
      <c r="A166" s="64">
        <v>2453</v>
      </c>
      <c r="B166" s="150">
        <v>0.2</v>
      </c>
      <c r="C166" s="159">
        <v>0.63157894736842102</v>
      </c>
      <c r="D166" s="152">
        <v>100000000</v>
      </c>
      <c r="E166" s="26">
        <f>VLOOKUP(2453,季財報!$A:$H,8,0)</f>
        <v>3</v>
      </c>
      <c r="F166" s="159">
        <v>9.4100000000000003E-2</v>
      </c>
      <c r="G166" s="152">
        <v>1085000000</v>
      </c>
      <c r="H166" s="152">
        <v>4061991000</v>
      </c>
      <c r="I166" s="150">
        <v>0.27277837724771897</v>
      </c>
      <c r="J166" s="152">
        <v>21.473958333333332</v>
      </c>
    </row>
    <row r="167" spans="1:10" hidden="1">
      <c r="A167" s="64">
        <v>6291</v>
      </c>
      <c r="B167" s="52">
        <v>-0.45</v>
      </c>
      <c r="C167" s="160">
        <v>1</v>
      </c>
      <c r="D167" s="157">
        <v>26666666.666666664</v>
      </c>
      <c r="E167" s="26">
        <f>VLOOKUP(6291,季財報!$A:$H,8,0)</f>
        <v>0</v>
      </c>
      <c r="F167" s="160">
        <v>1.6341666666666668E-2</v>
      </c>
      <c r="G167" s="54">
        <v>66666666.666666657</v>
      </c>
      <c r="H167" s="54">
        <v>242699000</v>
      </c>
      <c r="I167" s="65">
        <v>0.27366033006172402</v>
      </c>
      <c r="J167" s="162">
        <v>0</v>
      </c>
    </row>
    <row r="168" spans="1:10" hidden="1">
      <c r="A168" s="64">
        <v>1725</v>
      </c>
      <c r="B168" s="150">
        <v>0.56999999999999995</v>
      </c>
      <c r="C168" s="159">
        <v>0.38059701492537312</v>
      </c>
      <c r="D168" s="152">
        <v>182456140.3508772</v>
      </c>
      <c r="E168" s="26">
        <f>VLOOKUP(1725,季財報!$A:$H,8,0)</f>
        <v>3</v>
      </c>
      <c r="F168" s="159">
        <v>2.8916666666666661E-3</v>
      </c>
      <c r="G168" s="152">
        <v>2563508771.9298248</v>
      </c>
      <c r="H168" s="152">
        <v>9250345000</v>
      </c>
      <c r="I168" s="150">
        <v>0.27438810879002534</v>
      </c>
      <c r="J168" s="152">
        <v>16.191090471276233</v>
      </c>
    </row>
    <row r="169" spans="1:10" hidden="1">
      <c r="A169" s="64">
        <v>3071</v>
      </c>
      <c r="B169" s="150">
        <v>0.02</v>
      </c>
      <c r="C169" s="159">
        <v>0.5</v>
      </c>
      <c r="D169" s="152">
        <v>100000000</v>
      </c>
      <c r="E169" s="26">
        <f>VLOOKUP(3071,季財報!$A:$H,8,0)</f>
        <v>0</v>
      </c>
      <c r="F169" s="159">
        <v>8.4916666666666699E-3</v>
      </c>
      <c r="G169" s="152">
        <v>669000000</v>
      </c>
      <c r="H169" s="152">
        <v>2401728000</v>
      </c>
      <c r="I169" s="150">
        <v>0.2764628459143213</v>
      </c>
      <c r="J169" s="152">
        <v>50</v>
      </c>
    </row>
    <row r="170" spans="1:10" hidden="1">
      <c r="A170" s="64">
        <v>2312</v>
      </c>
      <c r="B170" s="150">
        <v>0.11</v>
      </c>
      <c r="C170" s="159">
        <v>3.6486486486486489E-2</v>
      </c>
      <c r="D170" s="152">
        <v>1445454545.4545455</v>
      </c>
      <c r="E170" s="26">
        <f>VLOOKUP(2312,季財報!$A:$H,8,0)</f>
        <v>1</v>
      </c>
      <c r="F170" s="159">
        <v>-5.3633333333333331E-2</v>
      </c>
      <c r="G170" s="152">
        <v>13356000000</v>
      </c>
      <c r="H170" s="152">
        <v>44788697000</v>
      </c>
      <c r="I170" s="150">
        <v>0.2770776785695207</v>
      </c>
      <c r="J170" s="152">
        <v>50</v>
      </c>
    </row>
    <row r="171" spans="1:10" hidden="1">
      <c r="A171" s="64">
        <v>3522</v>
      </c>
      <c r="B171" s="150">
        <v>0.13</v>
      </c>
      <c r="C171" s="159">
        <v>1</v>
      </c>
      <c r="D171" s="152">
        <v>46153846.153846152</v>
      </c>
      <c r="E171" s="26">
        <f>VLOOKUP(3522,季財報!$A:$H,8,0)</f>
        <v>3</v>
      </c>
      <c r="F171" s="159">
        <v>-2.2541666666666668E-2</v>
      </c>
      <c r="G171" s="152">
        <v>447692307.69230765</v>
      </c>
      <c r="H171" s="152">
        <v>1551536000</v>
      </c>
      <c r="I171" s="150">
        <v>0.27826592516606902</v>
      </c>
      <c r="J171" s="152">
        <v>18.653846153846153</v>
      </c>
    </row>
    <row r="172" spans="1:10" hidden="1">
      <c r="A172" s="64">
        <v>3704</v>
      </c>
      <c r="B172" s="52">
        <v>0.23</v>
      </c>
      <c r="C172" s="160">
        <v>1</v>
      </c>
      <c r="D172" s="157">
        <v>460869565.21739131</v>
      </c>
      <c r="E172" s="26">
        <f>VLOOKUP(3704,季財報!$A:$H,8,0)</f>
        <v>3</v>
      </c>
      <c r="F172" s="160">
        <v>1.5475000000000001E-2</v>
      </c>
      <c r="G172" s="54">
        <v>5760869565.217391</v>
      </c>
      <c r="H172" s="54">
        <v>20711822000</v>
      </c>
      <c r="I172" s="150">
        <v>0.27851084576620289</v>
      </c>
      <c r="J172" s="152">
        <v>13.586956521739129</v>
      </c>
    </row>
    <row r="173" spans="1:10" hidden="1">
      <c r="A173" s="64">
        <v>1904</v>
      </c>
      <c r="B173" s="150">
        <v>0.22</v>
      </c>
      <c r="C173" s="159">
        <v>1</v>
      </c>
      <c r="D173" s="152">
        <v>1095454545.4545455</v>
      </c>
      <c r="E173" s="26">
        <f>VLOOKUP(1904,季財報!$A:$H,8,0)</f>
        <v>1</v>
      </c>
      <c r="F173" s="159">
        <v>2.2916666666666662E-3</v>
      </c>
      <c r="G173" s="152">
        <v>12378636363.636364</v>
      </c>
      <c r="H173" s="152">
        <v>44077098000</v>
      </c>
      <c r="I173" s="150">
        <v>0.27939276352244302</v>
      </c>
      <c r="J173" s="152">
        <v>12.840909090909092</v>
      </c>
    </row>
    <row r="174" spans="1:10" hidden="1">
      <c r="A174" s="64">
        <v>3550</v>
      </c>
      <c r="B174" s="150">
        <v>0.48</v>
      </c>
      <c r="C174" s="159">
        <v>0.47540983606557374</v>
      </c>
      <c r="D174" s="152">
        <v>85416666.666666672</v>
      </c>
      <c r="E174" s="26">
        <f>VLOOKUP(3550,季財報!$A:$H,8,0)</f>
        <v>2</v>
      </c>
      <c r="F174" s="159">
        <v>4.7949999999999993E-2</v>
      </c>
      <c r="G174" s="152">
        <v>1016458333.3333334</v>
      </c>
      <c r="H174" s="152">
        <v>3629077000</v>
      </c>
      <c r="I174" s="150">
        <v>0.27960790387072243</v>
      </c>
      <c r="J174" s="152">
        <v>13.036997126436782</v>
      </c>
    </row>
    <row r="175" spans="1:10" hidden="1">
      <c r="A175" s="64">
        <v>6170</v>
      </c>
      <c r="B175" s="52">
        <v>0.1</v>
      </c>
      <c r="C175" s="160">
        <v>0.30769230769230771</v>
      </c>
      <c r="D175" s="157">
        <v>100000000</v>
      </c>
      <c r="E175" s="26">
        <f>VLOOKUP(6170,季財報!$A:$H,8,0)</f>
        <v>4</v>
      </c>
      <c r="F175" s="160">
        <v>1.4033333333333333E-2</v>
      </c>
      <c r="G175" s="54">
        <v>1015000000</v>
      </c>
      <c r="H175" s="54">
        <v>3654821000</v>
      </c>
      <c r="I175" s="65">
        <v>0.2796089331610685</v>
      </c>
      <c r="J175" s="162">
        <v>50</v>
      </c>
    </row>
    <row r="176" spans="1:10" hidden="1">
      <c r="A176" s="64">
        <v>4729</v>
      </c>
      <c r="B176" s="52">
        <v>0.04</v>
      </c>
      <c r="C176" s="160">
        <v>1</v>
      </c>
      <c r="D176" s="157">
        <v>125000000</v>
      </c>
      <c r="E176" s="26">
        <f>VLOOKUP(4729,季財報!$A:$H,8,0)</f>
        <v>2</v>
      </c>
      <c r="F176" s="160">
        <v>1.6375000000000001E-2</v>
      </c>
      <c r="G176" s="54">
        <v>1600000000</v>
      </c>
      <c r="H176" s="54">
        <v>5289216000</v>
      </c>
      <c r="I176" s="65">
        <v>0.28035961728108644</v>
      </c>
      <c r="J176" s="162">
        <v>50</v>
      </c>
    </row>
    <row r="177" spans="1:10" hidden="1">
      <c r="A177" s="64">
        <v>2317</v>
      </c>
      <c r="B177" s="150">
        <v>2.42</v>
      </c>
      <c r="C177" s="159">
        <v>0.73099074715175927</v>
      </c>
      <c r="D177" s="152">
        <v>15643801652.892563</v>
      </c>
      <c r="E177" s="26">
        <f>VLOOKUP(2317,季財報!$A:$H,8,0)</f>
        <v>1</v>
      </c>
      <c r="F177" s="159">
        <v>2.0883333333333337E-2</v>
      </c>
      <c r="G177" s="152">
        <v>1289049256198.3472</v>
      </c>
      <c r="H177" s="152">
        <v>4589010566000</v>
      </c>
      <c r="I177" s="150">
        <v>0.2810661486097431</v>
      </c>
      <c r="J177" s="152">
        <v>11.645012918949627</v>
      </c>
    </row>
    <row r="178" spans="1:10" hidden="1">
      <c r="A178" s="64">
        <v>2450</v>
      </c>
      <c r="B178" s="150">
        <v>0.42</v>
      </c>
      <c r="C178" s="159">
        <v>0.53197674418604646</v>
      </c>
      <c r="D178" s="152">
        <v>254761904.76190478</v>
      </c>
      <c r="E178" s="26">
        <f>VLOOKUP(2450,季財報!$A:$H,8,0)</f>
        <v>3</v>
      </c>
      <c r="F178" s="159">
        <v>-4.7666666666666673E-3</v>
      </c>
      <c r="G178" s="152">
        <v>10114047619.047621</v>
      </c>
      <c r="H178" s="152">
        <v>35691406000</v>
      </c>
      <c r="I178" s="150">
        <v>0.28128112461659138</v>
      </c>
      <c r="J178" s="152">
        <v>44.421025240697382</v>
      </c>
    </row>
    <row r="179" spans="1:10" hidden="1">
      <c r="A179" s="64">
        <v>1907</v>
      </c>
      <c r="B179" s="150">
        <v>0.27</v>
      </c>
      <c r="C179" s="159">
        <v>0.41609822646657574</v>
      </c>
      <c r="D179" s="152">
        <v>1674074074.074074</v>
      </c>
      <c r="E179" s="26">
        <f>VLOOKUP(1907,季財報!$A:$H,8,0)</f>
        <v>2</v>
      </c>
      <c r="F179" s="159">
        <v>1.3483333333333333E-2</v>
      </c>
      <c r="G179" s="152">
        <v>17912592592.59259</v>
      </c>
      <c r="H179" s="152">
        <v>63851768000</v>
      </c>
      <c r="I179" s="150">
        <v>0.28138438978731284</v>
      </c>
      <c r="J179" s="152">
        <v>23.810261080752881</v>
      </c>
    </row>
    <row r="180" spans="1:10" hidden="1">
      <c r="A180" s="64">
        <v>2908</v>
      </c>
      <c r="B180" s="150">
        <v>0.3</v>
      </c>
      <c r="C180" s="159">
        <v>0.87786259541984735</v>
      </c>
      <c r="D180" s="152">
        <v>506666666.66666669</v>
      </c>
      <c r="E180" s="26">
        <f>VLOOKUP(2908,季財報!$A:$H,8,0)</f>
        <v>1</v>
      </c>
      <c r="F180" s="159">
        <v>5.2416666666666679E-3</v>
      </c>
      <c r="G180" s="152">
        <v>10234666666.666666</v>
      </c>
      <c r="H180" s="152">
        <v>36235497000</v>
      </c>
      <c r="I180" s="150">
        <v>0.28230248792491192</v>
      </c>
      <c r="J180" s="152">
        <v>19.17536231884058</v>
      </c>
    </row>
    <row r="181" spans="1:10" hidden="1">
      <c r="A181" s="64">
        <v>3207</v>
      </c>
      <c r="B181" s="150">
        <v>-0.16</v>
      </c>
      <c r="C181" s="159">
        <v>1</v>
      </c>
      <c r="D181" s="152">
        <v>37500000</v>
      </c>
      <c r="E181" s="26">
        <f>VLOOKUP(3207,季財報!$A:$H,8,0)</f>
        <v>3</v>
      </c>
      <c r="F181" s="159">
        <v>2.4450000000000003E-2</v>
      </c>
      <c r="G181" s="152">
        <v>283125000</v>
      </c>
      <c r="H181" s="152">
        <v>1000622000</v>
      </c>
      <c r="I181" s="150">
        <v>0.28287437330525156</v>
      </c>
      <c r="J181" s="152">
        <v>0</v>
      </c>
    </row>
    <row r="182" spans="1:10" hidden="1">
      <c r="A182" s="64">
        <v>1336</v>
      </c>
      <c r="B182" s="150">
        <v>-0.54</v>
      </c>
      <c r="C182" s="159">
        <v>1</v>
      </c>
      <c r="D182" s="152">
        <v>62962962.962962955</v>
      </c>
      <c r="E182" s="26">
        <f>VLOOKUP(1336,季財報!$A:$H,8,0)</f>
        <v>2</v>
      </c>
      <c r="F182" s="159">
        <v>5.1683333333333331E-2</v>
      </c>
      <c r="G182" s="152">
        <v>504333333.33333325</v>
      </c>
      <c r="H182" s="152">
        <v>1818683000</v>
      </c>
      <c r="I182" s="150">
        <v>0.2841007245037907</v>
      </c>
      <c r="J182" s="152">
        <v>0</v>
      </c>
    </row>
    <row r="183" spans="1:10" hidden="1">
      <c r="A183" s="64">
        <v>6220</v>
      </c>
      <c r="B183" s="52">
        <v>1.04</v>
      </c>
      <c r="C183" s="160">
        <v>0.95</v>
      </c>
      <c r="D183" s="157">
        <v>131730769.23076923</v>
      </c>
      <c r="E183" s="26">
        <f>VLOOKUP(6220,季財報!$A:$H,8,0)</f>
        <v>5</v>
      </c>
      <c r="F183" s="160">
        <v>4.1691666666666675E-2</v>
      </c>
      <c r="G183" s="54">
        <v>1975961538.4615386</v>
      </c>
      <c r="H183" s="54">
        <v>6941367000</v>
      </c>
      <c r="I183" s="65">
        <v>0.28531124416194886</v>
      </c>
      <c r="J183" s="162">
        <v>3.7955465587044537</v>
      </c>
    </row>
    <row r="184" spans="1:10" hidden="1">
      <c r="A184" s="64">
        <v>8163</v>
      </c>
      <c r="B184" s="52">
        <v>1.58</v>
      </c>
      <c r="C184" s="160">
        <v>0.81818181818181823</v>
      </c>
      <c r="D184" s="157">
        <v>313924050.63291138</v>
      </c>
      <c r="E184" s="26">
        <f>VLOOKUP(8163,季財報!$A:$H,8,0)</f>
        <v>2</v>
      </c>
      <c r="F184" s="160">
        <v>-1.1333333333333334E-2</v>
      </c>
      <c r="G184" s="54">
        <v>5854683544.3037968</v>
      </c>
      <c r="H184" s="54">
        <v>20096774000</v>
      </c>
      <c r="I184" s="65">
        <v>0.28641037924661422</v>
      </c>
      <c r="J184" s="162">
        <v>3.6067158931082974</v>
      </c>
    </row>
    <row r="185" spans="1:10" hidden="1">
      <c r="A185" s="64">
        <v>6112</v>
      </c>
      <c r="B185" s="52">
        <v>0.62</v>
      </c>
      <c r="C185" s="160">
        <v>0.75206611570247939</v>
      </c>
      <c r="D185" s="157">
        <v>91935483.870967746</v>
      </c>
      <c r="E185" s="26">
        <f>VLOOKUP(6112,季財報!$A:$H,8,0)</f>
        <v>2</v>
      </c>
      <c r="F185" s="160">
        <v>8.1666666666666676E-3</v>
      </c>
      <c r="G185" s="54">
        <v>2431693548.3870969</v>
      </c>
      <c r="H185" s="54">
        <v>8517552000</v>
      </c>
      <c r="I185" s="65">
        <v>0.28670820313844703</v>
      </c>
      <c r="J185" s="162">
        <v>14.181362991846861</v>
      </c>
    </row>
    <row r="186" spans="1:10" hidden="1">
      <c r="A186" s="64">
        <v>1528</v>
      </c>
      <c r="B186" s="150">
        <v>0.01</v>
      </c>
      <c r="C186" s="159">
        <v>0</v>
      </c>
      <c r="D186" s="152">
        <v>100000000</v>
      </c>
      <c r="E186" s="26">
        <f>VLOOKUP(1528,季財報!$A:$H,8,0)</f>
        <v>1</v>
      </c>
      <c r="F186" s="159">
        <v>7.9108333333333336E-2</v>
      </c>
      <c r="G186" s="152">
        <v>910000000</v>
      </c>
      <c r="H186" s="152">
        <v>3240128000</v>
      </c>
      <c r="I186" s="150">
        <v>0.28730733044131668</v>
      </c>
      <c r="J186" s="152">
        <v>0</v>
      </c>
    </row>
    <row r="187" spans="1:10" hidden="1">
      <c r="A187" s="64">
        <v>8071</v>
      </c>
      <c r="B187" s="52">
        <v>-0.28000000000000003</v>
      </c>
      <c r="C187" s="160">
        <v>1</v>
      </c>
      <c r="D187" s="157">
        <v>53571428.571428567</v>
      </c>
      <c r="E187" s="26">
        <f>VLOOKUP(8071,季財報!$A:$H,8,0)</f>
        <v>1</v>
      </c>
      <c r="F187" s="160">
        <v>3.600833333333333E-2</v>
      </c>
      <c r="G187" s="54">
        <v>648214285.71428561</v>
      </c>
      <c r="H187" s="54">
        <v>2267782000</v>
      </c>
      <c r="I187" s="65">
        <v>0.29188533676138051</v>
      </c>
      <c r="J187" s="162">
        <v>0</v>
      </c>
    </row>
    <row r="188" spans="1:10" hidden="1">
      <c r="A188" s="64">
        <v>6189</v>
      </c>
      <c r="B188" s="52">
        <v>1.17</v>
      </c>
      <c r="C188" s="160">
        <v>0.86644951140065152</v>
      </c>
      <c r="D188" s="157">
        <v>178632478.63247865</v>
      </c>
      <c r="E188" s="26">
        <f>VLOOKUP(6189,季財報!$A:$H,8,0)</f>
        <v>4</v>
      </c>
      <c r="F188" s="160">
        <v>-1.2166666666666662E-3</v>
      </c>
      <c r="G188" s="54">
        <v>5323247863.2478638</v>
      </c>
      <c r="H188" s="54">
        <v>17706171000</v>
      </c>
      <c r="I188" s="65">
        <v>0.29532607980389131</v>
      </c>
      <c r="J188" s="162">
        <v>7.3489814279287966</v>
      </c>
    </row>
    <row r="189" spans="1:10" hidden="1">
      <c r="A189" s="64">
        <v>6278</v>
      </c>
      <c r="B189" s="52">
        <v>0.78</v>
      </c>
      <c r="C189" s="160">
        <v>1</v>
      </c>
      <c r="D189" s="157">
        <v>294871794.87179488</v>
      </c>
      <c r="E189" s="26">
        <f>VLOOKUP(6278,季財報!$A:$H,8,0)</f>
        <v>1</v>
      </c>
      <c r="F189" s="160">
        <v>4.1666666666667065E-4</v>
      </c>
      <c r="G189" s="54">
        <v>8993589743.5897446</v>
      </c>
      <c r="H189" s="54">
        <v>30195409000</v>
      </c>
      <c r="I189" s="65">
        <v>0.29584422027412016</v>
      </c>
      <c r="J189" s="162">
        <v>9.7756410256410255</v>
      </c>
    </row>
    <row r="190" spans="1:10" hidden="1">
      <c r="A190" s="64">
        <v>2636</v>
      </c>
      <c r="B190" s="150">
        <v>0.83</v>
      </c>
      <c r="C190" s="159">
        <v>0.77956989247311825</v>
      </c>
      <c r="D190" s="152">
        <v>106024096.38554217</v>
      </c>
      <c r="E190" s="26">
        <f>VLOOKUP(2636,季財報!$A:$H,8,0)</f>
        <v>2</v>
      </c>
      <c r="F190" s="159">
        <v>-1.1791666666666667E-2</v>
      </c>
      <c r="G190" s="152">
        <v>3032289156.6265063</v>
      </c>
      <c r="H190" s="152">
        <v>9948104000</v>
      </c>
      <c r="I190" s="150">
        <v>0.30022638164248233</v>
      </c>
      <c r="J190" s="152">
        <v>11.050270045700044</v>
      </c>
    </row>
    <row r="191" spans="1:10" hidden="1">
      <c r="A191" s="64">
        <v>6275</v>
      </c>
      <c r="B191" s="52">
        <v>0.15</v>
      </c>
      <c r="C191" s="160">
        <v>0.23529411764705882</v>
      </c>
      <c r="D191" s="157">
        <v>53333333.333333336</v>
      </c>
      <c r="E191" s="26">
        <f>VLOOKUP(6275,季財報!$A:$H,8,0)</f>
        <v>1</v>
      </c>
      <c r="F191" s="160">
        <v>2.2125000000000002E-2</v>
      </c>
      <c r="G191" s="54">
        <v>632000000</v>
      </c>
      <c r="H191" s="54">
        <v>2064244000</v>
      </c>
      <c r="I191" s="65">
        <v>0.30505434504542511</v>
      </c>
      <c r="J191" s="162">
        <v>50</v>
      </c>
    </row>
    <row r="192" spans="1:10" hidden="1">
      <c r="A192" s="64">
        <v>3313</v>
      </c>
      <c r="B192" s="150">
        <v>0.04</v>
      </c>
      <c r="C192" s="159">
        <v>1</v>
      </c>
      <c r="D192" s="152">
        <v>75000000</v>
      </c>
      <c r="E192" s="26">
        <f>VLOOKUP(3313,季財報!$A:$H,8,0)</f>
        <v>4</v>
      </c>
      <c r="F192" s="159">
        <v>-2.7891666666666665E-2</v>
      </c>
      <c r="G192" s="152">
        <v>551250000</v>
      </c>
      <c r="H192" s="152">
        <v>1719491000</v>
      </c>
      <c r="I192" s="150">
        <v>0.30744699362852707</v>
      </c>
      <c r="J192" s="152">
        <v>45.9375</v>
      </c>
    </row>
    <row r="193" spans="1:11" hidden="1">
      <c r="A193" s="64">
        <v>5475</v>
      </c>
      <c r="B193" s="52">
        <v>-0.38</v>
      </c>
      <c r="C193" s="160">
        <v>1</v>
      </c>
      <c r="D193" s="157">
        <v>223684210.52631578</v>
      </c>
      <c r="E193" s="26">
        <f>VLOOKUP(5475,季財報!$A:$H,8,0)</f>
        <v>1</v>
      </c>
      <c r="F193" s="160">
        <v>-1.0050000000000002E-2</v>
      </c>
      <c r="G193" s="54">
        <v>762763157.89473689</v>
      </c>
      <c r="H193" s="54">
        <v>2436157000</v>
      </c>
      <c r="I193" s="65">
        <v>0.30773951339253486</v>
      </c>
      <c r="J193" s="162">
        <v>0</v>
      </c>
    </row>
    <row r="194" spans="1:11" hidden="1">
      <c r="A194" s="64">
        <v>6126</v>
      </c>
      <c r="B194" s="52">
        <v>-0.09</v>
      </c>
      <c r="C194" s="160">
        <v>1</v>
      </c>
      <c r="D194" s="157">
        <v>111111111.11111112</v>
      </c>
      <c r="E194" s="26">
        <f>VLOOKUP(6126,季財報!$A:$H,8,0)</f>
        <v>4</v>
      </c>
      <c r="F194" s="160">
        <v>-1.183333333333332E-3</v>
      </c>
      <c r="G194" s="54">
        <v>904444444.44444454</v>
      </c>
      <c r="H194" s="54">
        <v>2886261000</v>
      </c>
      <c r="I194" s="65">
        <v>0.30853426627424446</v>
      </c>
      <c r="J194" s="162">
        <v>0</v>
      </c>
    </row>
    <row r="195" spans="1:11" hidden="1">
      <c r="A195" s="64">
        <v>1455</v>
      </c>
      <c r="B195" s="150">
        <v>-0.15</v>
      </c>
      <c r="C195" s="159">
        <v>0.10674157303370786</v>
      </c>
      <c r="D195" s="152">
        <v>613333333.33333337</v>
      </c>
      <c r="E195" s="26">
        <f>VLOOKUP(1455,季財報!$A:$H,8,0)</f>
        <v>0</v>
      </c>
      <c r="F195" s="159">
        <v>-1.4591666666666664E-2</v>
      </c>
      <c r="G195" s="152">
        <v>4876000000</v>
      </c>
      <c r="H195" s="152">
        <v>15441572000</v>
      </c>
      <c r="I195" s="150">
        <v>0.30854945875071516</v>
      </c>
      <c r="J195" s="152">
        <v>0</v>
      </c>
    </row>
    <row r="196" spans="1:11" hidden="1">
      <c r="A196" s="64">
        <v>6125</v>
      </c>
      <c r="B196" s="52">
        <v>7.0000000000000007E-2</v>
      </c>
      <c r="C196" s="160">
        <v>0</v>
      </c>
      <c r="D196" s="157">
        <v>257142857.1428571</v>
      </c>
      <c r="E196" s="26">
        <f>VLOOKUP(6125,季財報!$A:$H,8,0)</f>
        <v>2</v>
      </c>
      <c r="F196" s="160">
        <v>1.7250000000000005E-2</v>
      </c>
      <c r="G196" s="54">
        <v>3188571428.5714283</v>
      </c>
      <c r="H196" s="54">
        <v>10398166000</v>
      </c>
      <c r="I196" s="65">
        <v>0.30867144807774921</v>
      </c>
      <c r="J196" s="162">
        <v>0</v>
      </c>
    </row>
    <row r="197" spans="1:11" hidden="1">
      <c r="A197" s="64">
        <v>3011</v>
      </c>
      <c r="B197" s="150">
        <v>-0.33</v>
      </c>
      <c r="C197" s="159">
        <v>1</v>
      </c>
      <c r="D197" s="152">
        <v>115151515.15151514</v>
      </c>
      <c r="E197" s="26">
        <f>VLOOKUP(3011,季財報!$A:$H,8,0)</f>
        <v>1</v>
      </c>
      <c r="F197" s="159">
        <v>4.266666666666666E-3</v>
      </c>
      <c r="G197" s="152">
        <v>644848484.84848475</v>
      </c>
      <c r="H197" s="152">
        <v>2076324000</v>
      </c>
      <c r="I197" s="150">
        <v>0.30903099367391185</v>
      </c>
      <c r="J197" s="152">
        <v>0</v>
      </c>
    </row>
    <row r="198" spans="1:11" hidden="1">
      <c r="A198" s="64">
        <v>4915</v>
      </c>
      <c r="B198" s="52">
        <v>1.1499999999999999</v>
      </c>
      <c r="C198" s="160">
        <v>0.76444444444444448</v>
      </c>
      <c r="D198" s="157">
        <v>435652173.9130435</v>
      </c>
      <c r="E198" s="26">
        <f>VLOOKUP(4915,季財報!$A:$H,8,0)</f>
        <v>5</v>
      </c>
      <c r="F198" s="160">
        <v>5.0733333333333352E-2</v>
      </c>
      <c r="G198" s="54">
        <v>19038000000.000004</v>
      </c>
      <c r="H198" s="54">
        <v>64273460000</v>
      </c>
      <c r="I198" s="65">
        <v>0.30930921299862957</v>
      </c>
      <c r="J198" s="162">
        <v>12.427325581395351</v>
      </c>
    </row>
    <row r="199" spans="1:11" hidden="1">
      <c r="A199" s="64">
        <v>1608</v>
      </c>
      <c r="B199" s="150">
        <v>-0.43</v>
      </c>
      <c r="C199" s="159">
        <v>0</v>
      </c>
      <c r="D199" s="152">
        <v>423255813.95348835</v>
      </c>
      <c r="E199" s="26">
        <f>VLOOKUP(1608,季財報!$A:$H,8,0)</f>
        <v>1</v>
      </c>
      <c r="F199" s="159">
        <v>2.3399999999999994E-2</v>
      </c>
      <c r="G199" s="152">
        <v>2717302325.5813951</v>
      </c>
      <c r="H199" s="152">
        <v>8775732000</v>
      </c>
      <c r="I199" s="150">
        <v>0.31047999935801607</v>
      </c>
      <c r="J199" s="152">
        <v>0</v>
      </c>
    </row>
    <row r="200" spans="1:11" hidden="1">
      <c r="A200" s="64">
        <v>3596</v>
      </c>
      <c r="B200" s="150">
        <v>1.42</v>
      </c>
      <c r="C200" s="159">
        <v>0.25776397515527949</v>
      </c>
      <c r="D200" s="152">
        <v>188732394.3661972</v>
      </c>
      <c r="E200" s="26">
        <f>VLOOKUP(3596,季財報!$A:$H,8,0)</f>
        <v>3</v>
      </c>
      <c r="F200" s="159">
        <v>2.8774999999999998E-2</v>
      </c>
      <c r="G200" s="152">
        <v>6067746478.8732395</v>
      </c>
      <c r="H200" s="152">
        <v>19859978000</v>
      </c>
      <c r="I200" s="150">
        <v>0.31103538866737346</v>
      </c>
      <c r="J200" s="152">
        <v>21.958891905650773</v>
      </c>
      <c r="K200" s="32"/>
    </row>
    <row r="201" spans="1:11" hidden="1">
      <c r="A201" s="64">
        <v>2387</v>
      </c>
      <c r="B201" s="150">
        <v>0.81</v>
      </c>
      <c r="C201" s="159">
        <v>0.63636363636363635</v>
      </c>
      <c r="D201" s="152">
        <v>351851851.85185182</v>
      </c>
      <c r="E201" s="26">
        <f>VLOOKUP(2387,季財報!$A:$H,8,0)</f>
        <v>4</v>
      </c>
      <c r="F201" s="159">
        <v>8.0499999999999964E-3</v>
      </c>
      <c r="G201" s="152">
        <v>5242592592.5925922</v>
      </c>
      <c r="H201" s="152">
        <v>16835581000</v>
      </c>
      <c r="I201" s="150">
        <v>0.31178091122108925</v>
      </c>
      <c r="J201" s="152">
        <v>7.2266313932980593</v>
      </c>
    </row>
    <row r="202" spans="1:11" hidden="1">
      <c r="A202" s="64">
        <v>2425</v>
      </c>
      <c r="B202" s="150">
        <v>1.1399999999999999</v>
      </c>
      <c r="C202" s="159">
        <v>0.640625</v>
      </c>
      <c r="D202" s="152">
        <v>108771929.82456142</v>
      </c>
      <c r="E202" s="26">
        <f>VLOOKUP(2425,季財報!$A:$H,8,0)</f>
        <v>2</v>
      </c>
      <c r="F202" s="159">
        <v>4.1708333333333326E-2</v>
      </c>
      <c r="G202" s="152">
        <v>2218947368.4210529</v>
      </c>
      <c r="H202" s="152">
        <v>7153852000</v>
      </c>
      <c r="I202" s="150">
        <v>0.31274473750045673</v>
      </c>
      <c r="J202" s="152">
        <v>6.9833119383825419</v>
      </c>
    </row>
    <row r="203" spans="1:11" hidden="1">
      <c r="A203" s="64">
        <v>9962</v>
      </c>
      <c r="B203" s="52">
        <v>-0.23</v>
      </c>
      <c r="C203" s="160">
        <v>1</v>
      </c>
      <c r="D203" s="157">
        <v>91304347.826086953</v>
      </c>
      <c r="E203" s="26">
        <f>VLOOKUP(9962,季財報!$A:$H,8,0)</f>
        <v>0</v>
      </c>
      <c r="F203" s="160">
        <v>2.1341666666666658E-2</v>
      </c>
      <c r="G203" s="54">
        <v>661956521.73913038</v>
      </c>
      <c r="H203" s="54">
        <v>2071902000</v>
      </c>
      <c r="I203" s="65">
        <v>0.31376793286779991</v>
      </c>
      <c r="J203" s="162">
        <v>0</v>
      </c>
    </row>
    <row r="204" spans="1:11" hidden="1">
      <c r="A204" s="64">
        <v>1617</v>
      </c>
      <c r="B204" s="150">
        <v>0.24</v>
      </c>
      <c r="C204" s="159">
        <v>0.24242424242424243</v>
      </c>
      <c r="D204" s="152">
        <v>141666666.66666669</v>
      </c>
      <c r="E204" s="26">
        <f>VLOOKUP(1617,季財報!$A:$H,8,0)</f>
        <v>2</v>
      </c>
      <c r="F204" s="159">
        <v>-2.4749999999999911E-3</v>
      </c>
      <c r="G204" s="152">
        <v>960500000.00000012</v>
      </c>
      <c r="H204" s="152">
        <v>2970034000</v>
      </c>
      <c r="I204" s="150">
        <v>0.31576978295224534</v>
      </c>
      <c r="J204" s="152">
        <v>29.1328125</v>
      </c>
    </row>
    <row r="205" spans="1:11" hidden="1">
      <c r="A205" s="64">
        <v>6140</v>
      </c>
      <c r="B205" s="52">
        <v>0.12</v>
      </c>
      <c r="C205" s="160">
        <v>0</v>
      </c>
      <c r="D205" s="157">
        <v>41666666.666666672</v>
      </c>
      <c r="E205" s="26">
        <f>VLOOKUP(6140,季財報!$A:$H,8,0)</f>
        <v>2</v>
      </c>
      <c r="F205" s="160">
        <v>6.1083333333333344E-2</v>
      </c>
      <c r="G205" s="54">
        <v>437500000.00000006</v>
      </c>
      <c r="H205" s="54">
        <v>1386160000</v>
      </c>
      <c r="I205" s="65">
        <v>0.31654109933457641</v>
      </c>
      <c r="J205" s="162">
        <v>0</v>
      </c>
    </row>
    <row r="206" spans="1:11" hidden="1">
      <c r="A206" s="64">
        <v>4306</v>
      </c>
      <c r="B206" s="52">
        <v>0.09</v>
      </c>
      <c r="C206" s="160">
        <v>0.15365239294710328</v>
      </c>
      <c r="D206" s="157">
        <v>488888888.8888889</v>
      </c>
      <c r="E206" s="26">
        <f>VLOOKUP(4306,季財報!$A:$H,8,0)</f>
        <v>0</v>
      </c>
      <c r="F206" s="160">
        <v>7.4166666666666359E-4</v>
      </c>
      <c r="G206" s="54">
        <v>5793333333.333333</v>
      </c>
      <c r="H206" s="54">
        <v>18034279000</v>
      </c>
      <c r="I206" s="65">
        <v>0.3178698084640536</v>
      </c>
      <c r="J206" s="162">
        <v>50</v>
      </c>
    </row>
    <row r="207" spans="1:11" hidden="1">
      <c r="A207" s="64">
        <v>1909</v>
      </c>
      <c r="B207" s="150">
        <v>0.31</v>
      </c>
      <c r="C207" s="159">
        <v>1</v>
      </c>
      <c r="D207" s="152">
        <v>841935483.87096775</v>
      </c>
      <c r="E207" s="26">
        <f>VLOOKUP(1909,季財報!$A:$H,8,0)</f>
        <v>2</v>
      </c>
      <c r="F207" s="159">
        <v>4.4999999999999901E-4</v>
      </c>
      <c r="G207" s="152">
        <v>8714032258.0645161</v>
      </c>
      <c r="H207" s="152">
        <v>27084484000</v>
      </c>
      <c r="I207" s="150">
        <v>0.31867207992973134</v>
      </c>
      <c r="J207" s="152">
        <v>8.3467741935483861</v>
      </c>
    </row>
    <row r="208" spans="1:11" hidden="1">
      <c r="A208" s="64">
        <v>1441</v>
      </c>
      <c r="B208" s="150">
        <v>-0.2</v>
      </c>
      <c r="C208" s="159">
        <v>0.73076923076923073</v>
      </c>
      <c r="D208" s="152">
        <v>90000000</v>
      </c>
      <c r="E208" s="26">
        <f>VLOOKUP(1441,季財報!$A:$H,8,0)</f>
        <v>2</v>
      </c>
      <c r="F208" s="159">
        <v>1.6924999999999996E-2</v>
      </c>
      <c r="G208" s="152">
        <v>615600000</v>
      </c>
      <c r="H208" s="152">
        <v>1893104000</v>
      </c>
      <c r="I208" s="150">
        <v>0.32025303943856875</v>
      </c>
      <c r="J208" s="152">
        <v>0</v>
      </c>
    </row>
    <row r="209" spans="1:11" hidden="1">
      <c r="A209" s="64">
        <v>2459</v>
      </c>
      <c r="B209" s="150">
        <v>1.01</v>
      </c>
      <c r="C209" s="159">
        <v>0.7366071428571429</v>
      </c>
      <c r="D209" s="152">
        <v>110891089.10891089</v>
      </c>
      <c r="E209" s="26">
        <f>VLOOKUP(2459,季財報!$A:$H,8,0)</f>
        <v>1</v>
      </c>
      <c r="F209" s="159">
        <v>6.6250000000000024E-3</v>
      </c>
      <c r="G209" s="152">
        <v>3554059405.9405937</v>
      </c>
      <c r="H209" s="152">
        <v>11042693000</v>
      </c>
      <c r="I209" s="150">
        <v>0.32078771708120857</v>
      </c>
      <c r="J209" s="152">
        <v>10.769876987698767</v>
      </c>
    </row>
    <row r="210" spans="1:11" hidden="1">
      <c r="A210" s="64">
        <v>3553</v>
      </c>
      <c r="B210" s="150">
        <v>-0.08</v>
      </c>
      <c r="C210" s="159">
        <v>1</v>
      </c>
      <c r="D210" s="152">
        <v>62500000</v>
      </c>
      <c r="E210" s="26">
        <f>VLOOKUP(3553,季財報!$A:$H,8,0)</f>
        <v>0</v>
      </c>
      <c r="F210" s="159">
        <v>-6.3333333333333297E-4</v>
      </c>
      <c r="G210" s="152">
        <v>837500000</v>
      </c>
      <c r="H210" s="152">
        <v>2567190000</v>
      </c>
      <c r="I210" s="150">
        <v>0.32251865698224974</v>
      </c>
      <c r="J210" s="152">
        <v>0</v>
      </c>
    </row>
    <row r="211" spans="1:11" hidden="1">
      <c r="A211" s="64">
        <v>8085</v>
      </c>
      <c r="B211" s="52">
        <v>-0.18</v>
      </c>
      <c r="C211" s="160">
        <v>1</v>
      </c>
      <c r="D211" s="157">
        <v>155555555.55555555</v>
      </c>
      <c r="E211" s="26">
        <f>VLOOKUP(8085,季財報!$A:$H,8,0)</f>
        <v>2</v>
      </c>
      <c r="F211" s="160">
        <v>1.0724999999999998E-2</v>
      </c>
      <c r="G211" s="54">
        <v>603555555.55555558</v>
      </c>
      <c r="H211" s="54">
        <v>1850472000</v>
      </c>
      <c r="I211" s="65">
        <v>0.32594320715634956</v>
      </c>
      <c r="J211" s="162">
        <v>0</v>
      </c>
    </row>
    <row r="212" spans="1:11" hidden="1">
      <c r="A212" s="64">
        <v>3540</v>
      </c>
      <c r="B212" s="150">
        <v>0.25</v>
      </c>
      <c r="C212" s="159">
        <v>0.36842105263157893</v>
      </c>
      <c r="D212" s="152">
        <v>64000000</v>
      </c>
      <c r="E212" s="26">
        <f>VLOOKUP(3540,季財報!$A:$H,8,0)</f>
        <v>2</v>
      </c>
      <c r="F212" s="159">
        <v>2.9408333333333331E-2</v>
      </c>
      <c r="G212" s="152">
        <v>851200000</v>
      </c>
      <c r="H212" s="152">
        <v>2637475000</v>
      </c>
      <c r="I212" s="150">
        <v>0.32748601009158607</v>
      </c>
      <c r="J212" s="152">
        <v>36.1</v>
      </c>
    </row>
    <row r="213" spans="1:11" hidden="1">
      <c r="A213" s="64">
        <v>1474</v>
      </c>
      <c r="B213" s="150">
        <v>0.28000000000000003</v>
      </c>
      <c r="C213" s="159">
        <v>0.92307692307692313</v>
      </c>
      <c r="D213" s="152">
        <v>128571428.57142855</v>
      </c>
      <c r="E213" s="26">
        <f>VLOOKUP(1474,季財報!$A:$H,8,0)</f>
        <v>3</v>
      </c>
      <c r="F213" s="159">
        <v>7.0083333333333291E-3</v>
      </c>
      <c r="G213" s="152">
        <v>1173857142.8571427</v>
      </c>
      <c r="H213" s="152">
        <v>3502177000</v>
      </c>
      <c r="I213" s="150">
        <v>0.32997447667300911</v>
      </c>
      <c r="J213" s="152">
        <v>8.8311011904761898</v>
      </c>
    </row>
    <row r="214" spans="1:11" hidden="1">
      <c r="A214" s="64">
        <v>2603</v>
      </c>
      <c r="B214" s="150">
        <v>-0.69</v>
      </c>
      <c r="C214" s="159">
        <v>0.87222438644331901</v>
      </c>
      <c r="D214" s="152">
        <v>3498550724.6376815</v>
      </c>
      <c r="E214" s="26">
        <f>VLOOKUP(2603,季財報!$A:$H,8,0)</f>
        <v>1</v>
      </c>
      <c r="F214" s="159">
        <v>-1.9833333333333322E-3</v>
      </c>
      <c r="G214" s="152">
        <v>45831014492.753624</v>
      </c>
      <c r="H214" s="152">
        <v>137403110000</v>
      </c>
      <c r="I214" s="150">
        <v>0.33222756480420684</v>
      </c>
      <c r="J214" s="152">
        <v>0</v>
      </c>
    </row>
    <row r="215" spans="1:11" hidden="1">
      <c r="A215" s="64">
        <v>4725</v>
      </c>
      <c r="B215" s="52">
        <v>-1.35</v>
      </c>
      <c r="C215" s="160">
        <v>0.84305555555555556</v>
      </c>
      <c r="D215" s="157">
        <v>291851851.85185182</v>
      </c>
      <c r="E215" s="26">
        <f>VLOOKUP(4725,季財報!$A:$H,8,0)</f>
        <v>0</v>
      </c>
      <c r="F215" s="160">
        <v>-2.7166666666666672E-2</v>
      </c>
      <c r="G215" s="54">
        <v>4275629629.6296291</v>
      </c>
      <c r="H215" s="54">
        <v>12237893000</v>
      </c>
      <c r="I215" s="65">
        <v>0.33223482470916282</v>
      </c>
      <c r="J215" s="162">
        <v>0</v>
      </c>
    </row>
    <row r="216" spans="1:11" hidden="1">
      <c r="A216" s="64">
        <v>1735</v>
      </c>
      <c r="B216" s="150">
        <v>0.28999999999999998</v>
      </c>
      <c r="C216" s="159">
        <v>0.92307692307692313</v>
      </c>
      <c r="D216" s="152">
        <v>100000000</v>
      </c>
      <c r="E216" s="26">
        <f>VLOOKUP(1735,季財報!$A:$H,8,0)</f>
        <v>2</v>
      </c>
      <c r="F216" s="159">
        <v>1.6975000000000001E-2</v>
      </c>
      <c r="G216" s="152">
        <v>1200000000</v>
      </c>
      <c r="H216" s="152">
        <v>3495962000</v>
      </c>
      <c r="I216" s="150">
        <v>0.33334601900127864</v>
      </c>
      <c r="J216" s="152">
        <v>11.206896551724139</v>
      </c>
    </row>
    <row r="217" spans="1:11" hidden="1">
      <c r="A217" s="64">
        <v>3260</v>
      </c>
      <c r="B217" s="150">
        <v>0.33</v>
      </c>
      <c r="C217" s="159">
        <v>1</v>
      </c>
      <c r="D217" s="152">
        <v>218181818.18181816</v>
      </c>
      <c r="E217" s="26">
        <f>VLOOKUP(3260,季財報!$A:$H,8,0)</f>
        <v>2</v>
      </c>
      <c r="F217" s="159">
        <v>-3.191666666666669E-3</v>
      </c>
      <c r="G217" s="152">
        <v>7080000000</v>
      </c>
      <c r="H217" s="152">
        <v>20737407000</v>
      </c>
      <c r="I217" s="150">
        <v>0.33359721124039782</v>
      </c>
      <c r="J217" s="152">
        <v>24.583333333333336</v>
      </c>
      <c r="K217" s="32"/>
    </row>
    <row r="218" spans="1:11" hidden="1">
      <c r="A218" s="64">
        <v>3211</v>
      </c>
      <c r="B218" s="150">
        <v>1.51</v>
      </c>
      <c r="C218" s="159">
        <v>0.20359281437125748</v>
      </c>
      <c r="D218" s="152">
        <v>150331125.82781458</v>
      </c>
      <c r="E218" s="26">
        <f>VLOOKUP(3211,季財報!$A:$H,8,0)</f>
        <v>2</v>
      </c>
      <c r="F218" s="159">
        <v>-1.7333333333333391E-3</v>
      </c>
      <c r="G218" s="152">
        <v>7411324503.3112583</v>
      </c>
      <c r="H218" s="152">
        <v>21811915000</v>
      </c>
      <c r="I218" s="150">
        <v>0.33385843964754897</v>
      </c>
      <c r="J218" s="152">
        <v>40.091059602649004</v>
      </c>
    </row>
    <row r="219" spans="1:11" hidden="1">
      <c r="A219" s="64">
        <v>3114</v>
      </c>
      <c r="B219" s="150">
        <v>0.91</v>
      </c>
      <c r="C219" s="159">
        <v>0.27083333333333331</v>
      </c>
      <c r="D219" s="152">
        <v>50549450.549450547</v>
      </c>
      <c r="E219" s="26">
        <f>VLOOKUP(3114,季財報!$A:$H,8,0)</f>
        <v>4</v>
      </c>
      <c r="F219" s="159">
        <v>5.0583333333333313E-3</v>
      </c>
      <c r="G219" s="152">
        <v>652087912.08791208</v>
      </c>
      <c r="H219" s="152">
        <v>1934069000</v>
      </c>
      <c r="I219" s="150">
        <v>0.33431199310134185</v>
      </c>
      <c r="J219" s="152">
        <v>13.085376162299239</v>
      </c>
    </row>
    <row r="220" spans="1:11" hidden="1">
      <c r="A220" s="64">
        <v>6163</v>
      </c>
      <c r="B220" s="52">
        <v>-0.7</v>
      </c>
      <c r="C220" s="160">
        <v>1</v>
      </c>
      <c r="D220" s="157">
        <v>102857142.85714287</v>
      </c>
      <c r="E220" s="26">
        <f>VLOOKUP(6163,季財報!$A:$H,8,0)</f>
        <v>1</v>
      </c>
      <c r="F220" s="160">
        <v>7.6825000000000018E-2</v>
      </c>
      <c r="G220" s="54">
        <v>1126285714.2857144</v>
      </c>
      <c r="H220" s="54">
        <v>3210149000</v>
      </c>
      <c r="I220" s="65">
        <v>0.33542020804646877</v>
      </c>
      <c r="J220" s="162">
        <v>0</v>
      </c>
    </row>
    <row r="221" spans="1:11" hidden="1">
      <c r="A221" s="64">
        <v>8938</v>
      </c>
      <c r="B221" s="52">
        <v>0.02</v>
      </c>
      <c r="C221" s="160">
        <v>1</v>
      </c>
      <c r="D221" s="157">
        <v>150000000</v>
      </c>
      <c r="E221" s="26">
        <f>VLOOKUP(8938,季財報!$A:$H,8,0)</f>
        <v>2</v>
      </c>
      <c r="F221" s="160">
        <v>4.8850000000000005E-2</v>
      </c>
      <c r="G221" s="54">
        <v>2925000000</v>
      </c>
      <c r="H221" s="54">
        <v>8777459000</v>
      </c>
      <c r="I221" s="65">
        <v>0.33574858044352329</v>
      </c>
      <c r="J221" s="162">
        <v>50</v>
      </c>
    </row>
    <row r="222" spans="1:11" hidden="1">
      <c r="A222" s="64">
        <v>4609</v>
      </c>
      <c r="B222" s="52">
        <v>0.84</v>
      </c>
      <c r="C222" s="160">
        <v>1</v>
      </c>
      <c r="D222" s="157">
        <v>47619047.619047619</v>
      </c>
      <c r="E222" s="26">
        <f>VLOOKUP(4609,季財報!$A:$H,8,0)</f>
        <v>4</v>
      </c>
      <c r="F222" s="160">
        <v>6.4025000000000012E-2</v>
      </c>
      <c r="G222" s="54">
        <v>383333333.33333337</v>
      </c>
      <c r="H222" s="54">
        <v>1114051000</v>
      </c>
      <c r="I222" s="65">
        <v>0.33615734736191027</v>
      </c>
      <c r="J222" s="162">
        <v>2.3958333333333335</v>
      </c>
    </row>
    <row r="223" spans="1:11" hidden="1">
      <c r="A223" s="64">
        <v>3062</v>
      </c>
      <c r="B223" s="150">
        <v>0.38</v>
      </c>
      <c r="C223" s="159">
        <v>1</v>
      </c>
      <c r="D223" s="152">
        <v>323684210.52631581</v>
      </c>
      <c r="E223" s="26">
        <f>VLOOKUP(3062,季財報!$A:$H,8,0)</f>
        <v>2</v>
      </c>
      <c r="F223" s="159">
        <v>1.0875000000000001E-2</v>
      </c>
      <c r="G223" s="152">
        <v>5065657894.7368422</v>
      </c>
      <c r="H223" s="152">
        <v>14851411000</v>
      </c>
      <c r="I223" s="150">
        <v>0.33769123289001701</v>
      </c>
      <c r="J223" s="152">
        <v>10.296052631578947</v>
      </c>
      <c r="K223" s="32"/>
    </row>
    <row r="224" spans="1:11" hidden="1">
      <c r="A224" s="64">
        <v>8271</v>
      </c>
      <c r="B224" s="52">
        <v>0.32</v>
      </c>
      <c r="C224" s="160">
        <v>1</v>
      </c>
      <c r="D224" s="157">
        <v>150000000</v>
      </c>
      <c r="E224" s="26">
        <f>VLOOKUP(8271,季財報!$A:$H,8,0)</f>
        <v>2</v>
      </c>
      <c r="F224" s="160">
        <v>3.0750000000000018E-3</v>
      </c>
      <c r="G224" s="54">
        <v>2647500000</v>
      </c>
      <c r="H224" s="54">
        <v>7642438000</v>
      </c>
      <c r="I224" s="65">
        <v>0.33893548780657978</v>
      </c>
      <c r="J224" s="162">
        <v>13.789062499999998</v>
      </c>
    </row>
    <row r="225" spans="1:10" hidden="1">
      <c r="A225" s="64">
        <v>6270</v>
      </c>
      <c r="B225" s="52">
        <v>0.12</v>
      </c>
      <c r="C225" s="160">
        <v>0.45454545454545453</v>
      </c>
      <c r="D225" s="157">
        <v>75000000</v>
      </c>
      <c r="E225" s="26">
        <f>VLOOKUP(6270,季財報!$A:$H,8,0)</f>
        <v>3</v>
      </c>
      <c r="F225" s="160">
        <v>3.8583333333333364E-3</v>
      </c>
      <c r="G225" s="54">
        <v>776250000</v>
      </c>
      <c r="H225" s="54">
        <v>2259141000</v>
      </c>
      <c r="I225" s="65">
        <v>0.33981413425427159</v>
      </c>
      <c r="J225" s="162">
        <v>47.4375</v>
      </c>
    </row>
    <row r="226" spans="1:10" hidden="1">
      <c r="A226" s="64">
        <v>2301</v>
      </c>
      <c r="B226" s="150">
        <v>0.71</v>
      </c>
      <c r="C226" s="159">
        <v>0.86449511400651469</v>
      </c>
      <c r="D226" s="152">
        <v>2308450704.2253523</v>
      </c>
      <c r="E226" s="26">
        <f>VLOOKUP(2301,季財報!$A:$H,8,0)</f>
        <v>3</v>
      </c>
      <c r="F226" s="159">
        <v>1.9750000000000041E-3</v>
      </c>
      <c r="G226" s="152">
        <v>74793802816.901413</v>
      </c>
      <c r="H226" s="152">
        <v>218199085000</v>
      </c>
      <c r="I226" s="150">
        <v>0.34095132369752751</v>
      </c>
      <c r="J226" s="152">
        <v>13.196663022596772</v>
      </c>
    </row>
    <row r="227" spans="1:10" hidden="1">
      <c r="A227" s="64">
        <v>6281</v>
      </c>
      <c r="B227" s="52">
        <v>0.88</v>
      </c>
      <c r="C227" s="160">
        <v>0.94444444444444442</v>
      </c>
      <c r="D227" s="157">
        <v>98863636.36363636</v>
      </c>
      <c r="E227" s="26">
        <f>VLOOKUP(6281,季財報!$A:$H,8,0)</f>
        <v>0</v>
      </c>
      <c r="F227" s="160">
        <v>2.7566666666666666E-2</v>
      </c>
      <c r="G227" s="54">
        <v>5526477272.727272</v>
      </c>
      <c r="H227" s="54">
        <v>16337480000</v>
      </c>
      <c r="I227" s="65">
        <v>0.34130659065812702</v>
      </c>
      <c r="J227" s="162">
        <v>16.814839572192511</v>
      </c>
    </row>
    <row r="228" spans="1:10" hidden="1">
      <c r="A228" s="64">
        <v>2034</v>
      </c>
      <c r="B228" s="150">
        <v>0.56000000000000005</v>
      </c>
      <c r="C228" s="159">
        <v>0.7192982456140351</v>
      </c>
      <c r="D228" s="152">
        <v>369642857.14285713</v>
      </c>
      <c r="E228" s="26">
        <f>VLOOKUP(2034,季財報!$A:$H,8,0)</f>
        <v>2</v>
      </c>
      <c r="F228" s="159">
        <v>-1.4033333333333333E-2</v>
      </c>
      <c r="G228" s="152">
        <v>6524196428.5714283</v>
      </c>
      <c r="H228" s="152">
        <v>18686657000</v>
      </c>
      <c r="I228" s="150">
        <v>0.34132518540276224</v>
      </c>
      <c r="J228" s="152">
        <v>10.954377177700348</v>
      </c>
    </row>
    <row r="229" spans="1:10" hidden="1">
      <c r="A229" s="64">
        <v>8032</v>
      </c>
      <c r="B229" s="52">
        <v>1.1499999999999999</v>
      </c>
      <c r="C229" s="160">
        <v>0.57954545454545459</v>
      </c>
      <c r="D229" s="157">
        <v>52173913.043478265</v>
      </c>
      <c r="E229" s="26">
        <f>VLOOKUP(8032,季財報!$A:$H,8,0)</f>
        <v>3</v>
      </c>
      <c r="F229" s="160">
        <v>4.5749999999999992E-2</v>
      </c>
      <c r="G229" s="54">
        <v>1434782608.6956522</v>
      </c>
      <c r="H229" s="54">
        <v>4269575000</v>
      </c>
      <c r="I229" s="65">
        <v>0.34150489347018742</v>
      </c>
      <c r="J229" s="162">
        <v>10.3154305200341</v>
      </c>
    </row>
    <row r="230" spans="1:10" hidden="1">
      <c r="A230" s="64">
        <v>2010</v>
      </c>
      <c r="B230" s="150">
        <v>0.11</v>
      </c>
      <c r="C230" s="159">
        <v>0.45402298850574713</v>
      </c>
      <c r="D230" s="152">
        <v>663636363.63636363</v>
      </c>
      <c r="E230" s="26">
        <f>VLOOKUP(2010,季財報!$A:$H,8,0)</f>
        <v>0</v>
      </c>
      <c r="F230" s="159">
        <v>-7.6666666666666257E-4</v>
      </c>
      <c r="G230" s="152">
        <v>5767000000</v>
      </c>
      <c r="H230" s="152">
        <v>16603004000</v>
      </c>
      <c r="I230" s="150">
        <v>0.34248924413330534</v>
      </c>
      <c r="J230" s="152">
        <v>43.499999999999993</v>
      </c>
    </row>
    <row r="231" spans="1:10" hidden="1">
      <c r="A231" s="64">
        <v>6142</v>
      </c>
      <c r="B231" s="52">
        <v>0.03</v>
      </c>
      <c r="C231" s="160">
        <v>1</v>
      </c>
      <c r="D231" s="157">
        <v>266666666.66666669</v>
      </c>
      <c r="E231" s="26">
        <f>VLOOKUP(6142,季財報!$A:$H,8,0)</f>
        <v>2</v>
      </c>
      <c r="F231" s="160">
        <v>1.3316666666666659E-2</v>
      </c>
      <c r="G231" s="54">
        <v>1520000000.0000002</v>
      </c>
      <c r="H231" s="54">
        <v>4375222000</v>
      </c>
      <c r="I231" s="65">
        <v>0.34347697676084493</v>
      </c>
      <c r="J231" s="162">
        <v>47.5</v>
      </c>
    </row>
    <row r="232" spans="1:10" hidden="1">
      <c r="A232" s="64">
        <v>3047</v>
      </c>
      <c r="B232" s="150">
        <v>0.46</v>
      </c>
      <c r="C232" s="159">
        <v>0.30357142857142855</v>
      </c>
      <c r="D232" s="152">
        <v>195652173.91304347</v>
      </c>
      <c r="E232" s="26">
        <f>VLOOKUP(3047,季財報!$A:$H,8,0)</f>
        <v>3</v>
      </c>
      <c r="F232" s="159">
        <v>-1.0508333333333333E-2</v>
      </c>
      <c r="G232" s="152">
        <v>1956521739.1304348</v>
      </c>
      <c r="H232" s="152">
        <v>5564461000</v>
      </c>
      <c r="I232" s="150">
        <v>0.34511784750642732</v>
      </c>
      <c r="J232" s="152">
        <v>17.90281329923274</v>
      </c>
    </row>
    <row r="233" spans="1:10" hidden="1">
      <c r="A233" s="64">
        <v>3323</v>
      </c>
      <c r="B233" s="150">
        <v>0.76</v>
      </c>
      <c r="C233" s="159">
        <v>0.16666666666666666</v>
      </c>
      <c r="D233" s="152">
        <v>94736842.105263159</v>
      </c>
      <c r="E233" s="26">
        <f>VLOOKUP(3323,季財報!$A:$H,8,0)</f>
        <v>4</v>
      </c>
      <c r="F233" s="159">
        <v>1.795833333333334E-2</v>
      </c>
      <c r="G233" s="152">
        <v>1733684210.5263159</v>
      </c>
      <c r="H233" s="152">
        <v>4982751000</v>
      </c>
      <c r="I233" s="150">
        <v>0.34580110431698141</v>
      </c>
      <c r="J233" s="152">
        <v>36.118421052631582</v>
      </c>
    </row>
    <row r="234" spans="1:10" hidden="1">
      <c r="A234" s="64">
        <v>4513</v>
      </c>
      <c r="B234" s="52">
        <v>2.0499999999999998</v>
      </c>
      <c r="C234" s="160">
        <v>0</v>
      </c>
      <c r="D234" s="157">
        <v>76585365.853658542</v>
      </c>
      <c r="E234" s="26">
        <f>VLOOKUP(4513,季財報!$A:$H,8,0)</f>
        <v>3</v>
      </c>
      <c r="F234" s="160">
        <v>6.303333333333333E-2</v>
      </c>
      <c r="G234" s="54">
        <v>785000000</v>
      </c>
      <c r="H234" s="54">
        <v>2237195000</v>
      </c>
      <c r="I234" s="65">
        <v>0.34595518888712606</v>
      </c>
      <c r="J234" s="162">
        <v>0</v>
      </c>
    </row>
    <row r="235" spans="1:10" hidden="1">
      <c r="A235" s="64">
        <v>5013</v>
      </c>
      <c r="B235" s="52">
        <v>0.47</v>
      </c>
      <c r="C235" s="160">
        <v>1</v>
      </c>
      <c r="D235" s="157">
        <v>110638297.87234043</v>
      </c>
      <c r="E235" s="26">
        <f>VLOOKUP(5013,季財報!$A:$H,8,0)</f>
        <v>2</v>
      </c>
      <c r="F235" s="160">
        <v>1.2624999999999992E-2</v>
      </c>
      <c r="G235" s="54">
        <v>1825531914.8936169</v>
      </c>
      <c r="H235" s="54">
        <v>5211459000</v>
      </c>
      <c r="I235" s="65">
        <v>0.34712984728143742</v>
      </c>
      <c r="J235" s="162">
        <v>8.7765957446808507</v>
      </c>
    </row>
    <row r="236" spans="1:10" hidden="1">
      <c r="A236" s="64">
        <v>5480</v>
      </c>
      <c r="B236" s="52">
        <v>0.28999999999999998</v>
      </c>
      <c r="C236" s="160">
        <v>0.68421052631578949</v>
      </c>
      <c r="D236" s="157">
        <v>200000000</v>
      </c>
      <c r="E236" s="26">
        <f>VLOOKUP(5480,季財報!$A:$H,8,0)</f>
        <v>3</v>
      </c>
      <c r="F236" s="160">
        <v>1.0208333333333333E-2</v>
      </c>
      <c r="G236" s="54">
        <v>2120000000</v>
      </c>
      <c r="H236" s="54">
        <v>6118013000</v>
      </c>
      <c r="I236" s="65">
        <v>0.3472338808545557</v>
      </c>
      <c r="J236" s="162">
        <v>13.355437665782492</v>
      </c>
    </row>
    <row r="237" spans="1:10" hidden="1">
      <c r="A237" s="64">
        <v>8067</v>
      </c>
      <c r="B237" s="52">
        <v>0.05</v>
      </c>
      <c r="C237" s="160">
        <v>1</v>
      </c>
      <c r="D237" s="157">
        <v>40000000</v>
      </c>
      <c r="E237" s="26">
        <f>VLOOKUP(8067,季財報!$A:$H,8,0)</f>
        <v>2</v>
      </c>
      <c r="F237" s="160">
        <v>-4.5749999999999983E-3</v>
      </c>
      <c r="G237" s="54">
        <v>185200000</v>
      </c>
      <c r="H237" s="54">
        <v>521118000</v>
      </c>
      <c r="I237" s="65">
        <v>0.34805095225387422</v>
      </c>
      <c r="J237" s="162">
        <v>23.15</v>
      </c>
    </row>
    <row r="238" spans="1:10" hidden="1">
      <c r="A238" s="64">
        <v>3230</v>
      </c>
      <c r="B238" s="150">
        <v>-0.42</v>
      </c>
      <c r="C238" s="159">
        <v>1</v>
      </c>
      <c r="D238" s="152">
        <v>107142857.14285715</v>
      </c>
      <c r="E238" s="26">
        <f>VLOOKUP(3230,季財報!$A:$H,8,0)</f>
        <v>0</v>
      </c>
      <c r="F238" s="159">
        <v>3.8733333333333321E-2</v>
      </c>
      <c r="G238" s="152">
        <v>616071428.57142866</v>
      </c>
      <c r="H238" s="152">
        <v>1723102000</v>
      </c>
      <c r="I238" s="150">
        <v>0.35292170891197494</v>
      </c>
      <c r="J238" s="152">
        <v>0</v>
      </c>
    </row>
    <row r="239" spans="1:10" hidden="1">
      <c r="A239" s="64">
        <v>8933</v>
      </c>
      <c r="B239" s="52">
        <v>0.8</v>
      </c>
      <c r="C239" s="160">
        <v>0.44736842105263158</v>
      </c>
      <c r="D239" s="157">
        <v>148750000</v>
      </c>
      <c r="E239" s="26">
        <f>VLOOKUP(8933,季財報!$A:$H,8,0)</f>
        <v>4</v>
      </c>
      <c r="F239" s="160">
        <v>2.5258333333333337E-2</v>
      </c>
      <c r="G239" s="54">
        <v>2186625000</v>
      </c>
      <c r="H239" s="54">
        <v>6185432000</v>
      </c>
      <c r="I239" s="65">
        <v>0.35344135051651371</v>
      </c>
      <c r="J239" s="162">
        <v>10.268382352941176</v>
      </c>
    </row>
    <row r="240" spans="1:10" hidden="1">
      <c r="A240" s="64">
        <v>3015</v>
      </c>
      <c r="B240" s="150">
        <v>0.7</v>
      </c>
      <c r="C240" s="159">
        <v>0</v>
      </c>
      <c r="D240" s="152">
        <v>210000000</v>
      </c>
      <c r="E240" s="26">
        <f>VLOOKUP(3015,季財報!$A:$H,8,0)</f>
        <v>3</v>
      </c>
      <c r="F240" s="159">
        <v>2.0408333333333337E-2</v>
      </c>
      <c r="G240" s="152">
        <v>4924500000</v>
      </c>
      <c r="H240" s="152">
        <v>13966017000</v>
      </c>
      <c r="I240" s="150">
        <v>0.35407668850253421</v>
      </c>
      <c r="J240" s="152">
        <v>0</v>
      </c>
    </row>
    <row r="241" spans="1:10" hidden="1">
      <c r="A241" s="64">
        <v>8066</v>
      </c>
      <c r="B241" s="52">
        <v>2.48</v>
      </c>
      <c r="C241" s="160">
        <v>1</v>
      </c>
      <c r="D241" s="157">
        <v>24596774.193548389</v>
      </c>
      <c r="E241" s="26">
        <f>VLOOKUP(8066,季財報!$A:$H,8,0)</f>
        <v>4</v>
      </c>
      <c r="F241" s="160">
        <v>0.20084166666666667</v>
      </c>
      <c r="G241" s="54">
        <v>2594959677.4193549</v>
      </c>
      <c r="H241" s="54">
        <v>7440081000</v>
      </c>
      <c r="I241" s="65">
        <v>0.356773316381093</v>
      </c>
      <c r="J241" s="162">
        <v>10.63508064516129</v>
      </c>
    </row>
    <row r="242" spans="1:10" hidden="1">
      <c r="A242" s="64">
        <v>4953</v>
      </c>
      <c r="B242" s="52">
        <v>0.32</v>
      </c>
      <c r="C242" s="160">
        <v>0.3611111111111111</v>
      </c>
      <c r="D242" s="157">
        <v>43750000</v>
      </c>
      <c r="E242" s="26">
        <f>VLOOKUP(4953,季財報!$A:$H,8,0)</f>
        <v>1</v>
      </c>
      <c r="F242" s="160">
        <v>1.4783333333333334E-2</v>
      </c>
      <c r="G242" s="54">
        <v>907812500</v>
      </c>
      <c r="H242" s="54">
        <v>2562361000</v>
      </c>
      <c r="I242" s="65">
        <v>0.35678633399032783</v>
      </c>
      <c r="J242" s="162">
        <v>44.891826923076927</v>
      </c>
    </row>
    <row r="243" spans="1:10" hidden="1">
      <c r="A243" s="64">
        <v>3037</v>
      </c>
      <c r="B243" s="150">
        <v>0.1</v>
      </c>
      <c r="C243" s="159">
        <v>0</v>
      </c>
      <c r="D243" s="152">
        <v>1580000000</v>
      </c>
      <c r="E243" s="26">
        <f>VLOOKUP(3037,季財報!$A:$H,8,0)</f>
        <v>3</v>
      </c>
      <c r="F243" s="159">
        <v>1.368333333333333E-2</v>
      </c>
      <c r="G243" s="152">
        <v>22831000000</v>
      </c>
      <c r="H243" s="152">
        <v>64402947000</v>
      </c>
      <c r="I243" s="150">
        <v>0.35718201894621338</v>
      </c>
      <c r="J243" s="152">
        <v>0</v>
      </c>
    </row>
    <row r="244" spans="1:10" hidden="1">
      <c r="A244" s="64">
        <v>2328</v>
      </c>
      <c r="B244" s="150">
        <v>0.63</v>
      </c>
      <c r="C244" s="159">
        <v>0.27374301675977653</v>
      </c>
      <c r="D244" s="152">
        <v>504761904.76190478</v>
      </c>
      <c r="E244" s="26">
        <f>VLOOKUP(2328,季財報!$A:$H,8,0)</f>
        <v>2</v>
      </c>
      <c r="F244" s="159">
        <v>3.4700000000000002E-2</v>
      </c>
      <c r="G244" s="152">
        <v>6738571428.5714283</v>
      </c>
      <c r="H244" s="152">
        <v>18940358000</v>
      </c>
      <c r="I244" s="150">
        <v>0.35805225826223613</v>
      </c>
      <c r="J244" s="152">
        <v>19.352526724975707</v>
      </c>
    </row>
    <row r="245" spans="1:10" hidden="1">
      <c r="A245" s="64">
        <v>3706</v>
      </c>
      <c r="B245" s="52">
        <v>0.64</v>
      </c>
      <c r="C245" s="160">
        <v>0.1492094861660079</v>
      </c>
      <c r="D245" s="157">
        <v>767187500</v>
      </c>
      <c r="E245" s="26">
        <f>VLOOKUP(3706,季財報!$A:$H,8,0)</f>
        <v>3</v>
      </c>
      <c r="F245" s="160">
        <v>1.1600000000000001E-2</v>
      </c>
      <c r="G245" s="54">
        <v>18450859375</v>
      </c>
      <c r="H245" s="54">
        <v>51191032000</v>
      </c>
      <c r="I245" s="65">
        <v>0.35897245612982098</v>
      </c>
      <c r="J245" s="162">
        <v>50</v>
      </c>
    </row>
    <row r="246" spans="1:10" hidden="1">
      <c r="A246" s="64">
        <v>8099</v>
      </c>
      <c r="B246" s="52">
        <v>0.36</v>
      </c>
      <c r="C246" s="160">
        <v>0.96</v>
      </c>
      <c r="D246" s="157">
        <v>66666666.666666672</v>
      </c>
      <c r="E246" s="26">
        <f>VLOOKUP(8099,季財報!$A:$H,8,0)</f>
        <v>1</v>
      </c>
      <c r="F246" s="160">
        <v>3.1566666666666666E-2</v>
      </c>
      <c r="G246" s="54">
        <v>1233333333.3333335</v>
      </c>
      <c r="H246" s="54">
        <v>3505228000</v>
      </c>
      <c r="I246" s="65">
        <v>0.35944151337700453</v>
      </c>
      <c r="J246" s="162">
        <v>13.382523148148149</v>
      </c>
    </row>
    <row r="247" spans="1:10" hidden="1">
      <c r="A247" s="64">
        <v>2029</v>
      </c>
      <c r="B247" s="150">
        <v>-1.38</v>
      </c>
      <c r="C247" s="159">
        <v>0</v>
      </c>
      <c r="D247" s="152">
        <v>320289855.07246381</v>
      </c>
      <c r="E247" s="26">
        <f>VLOOKUP(2029,季財報!$A:$H,8,0)</f>
        <v>1</v>
      </c>
      <c r="F247" s="159">
        <v>-5.1941666666666671E-2</v>
      </c>
      <c r="G247" s="152">
        <v>5140652173.913044</v>
      </c>
      <c r="H247" s="152">
        <v>13557072000</v>
      </c>
      <c r="I247" s="150">
        <v>0.35994485657583397</v>
      </c>
      <c r="J247" s="152">
        <v>0</v>
      </c>
    </row>
    <row r="248" spans="1:10" hidden="1">
      <c r="A248" s="64">
        <v>1215</v>
      </c>
      <c r="B248" s="150">
        <v>0.72</v>
      </c>
      <c r="C248" s="159">
        <v>0.94557823129251706</v>
      </c>
      <c r="D248" s="152">
        <v>266666666.66666669</v>
      </c>
      <c r="E248" s="26">
        <f>VLOOKUP(1215,季財報!$A:$H,8,0)</f>
        <v>3</v>
      </c>
      <c r="F248" s="159">
        <v>-3.5083333333333334E-3</v>
      </c>
      <c r="G248" s="152">
        <v>6106666666.666667</v>
      </c>
      <c r="H248" s="152">
        <v>16698124000</v>
      </c>
      <c r="I248" s="150">
        <v>0.36316826007731956</v>
      </c>
      <c r="J248" s="152">
        <v>8.4090227817745795</v>
      </c>
    </row>
    <row r="249" spans="1:10" hidden="1">
      <c r="A249" s="64">
        <v>2457</v>
      </c>
      <c r="B249" s="150">
        <v>-0.24</v>
      </c>
      <c r="C249" s="159">
        <v>1</v>
      </c>
      <c r="D249" s="152">
        <v>279166666.66666669</v>
      </c>
      <c r="E249" s="26">
        <f>VLOOKUP(2457,季財報!$A:$H,8,0)</f>
        <v>2</v>
      </c>
      <c r="F249" s="159">
        <v>1.5949999999999999E-2</v>
      </c>
      <c r="G249" s="152">
        <v>4006041666.666667</v>
      </c>
      <c r="H249" s="152">
        <v>11084978000</v>
      </c>
      <c r="I249" s="150">
        <v>0.36375769473607111</v>
      </c>
      <c r="J249" s="152">
        <v>0</v>
      </c>
    </row>
    <row r="250" spans="1:10" hidden="1">
      <c r="A250" s="64">
        <v>3694</v>
      </c>
      <c r="B250" s="150">
        <v>0.61</v>
      </c>
      <c r="C250" s="159">
        <v>1</v>
      </c>
      <c r="D250" s="152">
        <v>129508196.72131148</v>
      </c>
      <c r="E250" s="26">
        <f>VLOOKUP(3694,季財報!$A:$H,8,0)</f>
        <v>5</v>
      </c>
      <c r="F250" s="159">
        <v>7.3074999999999987E-2</v>
      </c>
      <c r="G250" s="152">
        <v>2214590163.9344263</v>
      </c>
      <c r="H250" s="152">
        <v>6410654000</v>
      </c>
      <c r="I250" s="150">
        <v>0.36476194901848957</v>
      </c>
      <c r="J250" s="152">
        <v>7.0081967213114762</v>
      </c>
    </row>
    <row r="251" spans="1:10" hidden="1">
      <c r="A251" s="64">
        <v>6213</v>
      </c>
      <c r="B251" s="52">
        <v>0.56999999999999995</v>
      </c>
      <c r="C251" s="160">
        <v>1</v>
      </c>
      <c r="D251" s="157">
        <v>315789473.68421054</v>
      </c>
      <c r="E251" s="26">
        <f>VLOOKUP(6213,季財報!$A:$H,8,0)</f>
        <v>4</v>
      </c>
      <c r="F251" s="160">
        <v>4.5750000000000001E-3</v>
      </c>
      <c r="G251" s="54">
        <v>6963157894.7368422</v>
      </c>
      <c r="H251" s="54">
        <v>18896258000</v>
      </c>
      <c r="I251" s="65">
        <v>0.36768665204350265</v>
      </c>
      <c r="J251" s="162">
        <v>9.6710526315789487</v>
      </c>
    </row>
    <row r="252" spans="1:10" hidden="1">
      <c r="A252" s="64">
        <v>1447</v>
      </c>
      <c r="B252" s="150">
        <v>7.0000000000000007E-2</v>
      </c>
      <c r="C252" s="159">
        <v>0</v>
      </c>
      <c r="D252" s="152">
        <v>814285714.28571415</v>
      </c>
      <c r="E252" s="26">
        <f>VLOOKUP(1447,季財報!$A:$H,8,0)</f>
        <v>1</v>
      </c>
      <c r="F252" s="159">
        <v>-1.0216666666666666E-2</v>
      </c>
      <c r="G252" s="152">
        <v>6587571428.5714273</v>
      </c>
      <c r="H252" s="152">
        <v>17318615000</v>
      </c>
      <c r="I252" s="150">
        <v>0.37003633189764129</v>
      </c>
      <c r="J252" s="152">
        <v>0</v>
      </c>
    </row>
    <row r="253" spans="1:10" hidden="1">
      <c r="A253" s="64">
        <v>5484</v>
      </c>
      <c r="B253" s="52">
        <v>-0.25</v>
      </c>
      <c r="C253" s="160">
        <v>1</v>
      </c>
      <c r="D253" s="157">
        <v>116000000</v>
      </c>
      <c r="E253" s="26">
        <f>VLOOKUP(5484,季財報!$A:$H,8,0)</f>
        <v>4</v>
      </c>
      <c r="F253" s="160">
        <v>3.7541666666666668E-2</v>
      </c>
      <c r="G253" s="54">
        <v>455880000</v>
      </c>
      <c r="H253" s="54">
        <v>1220189000</v>
      </c>
      <c r="I253" s="65">
        <v>0.37219312110563924</v>
      </c>
      <c r="J253" s="162">
        <v>0</v>
      </c>
    </row>
    <row r="254" spans="1:10" hidden="1">
      <c r="A254" s="64">
        <v>5225</v>
      </c>
      <c r="B254" s="52">
        <v>2.19</v>
      </c>
      <c r="C254" s="160">
        <v>0.86805555555555558</v>
      </c>
      <c r="D254" s="157">
        <v>60730593.607305937</v>
      </c>
      <c r="E254" s="26">
        <f>VLOOKUP(5225,季財報!$A:$H,8,0)</f>
        <v>4</v>
      </c>
      <c r="F254" s="160">
        <v>5.3749999999999999E-2</v>
      </c>
      <c r="G254" s="54">
        <v>3009200913.2420092</v>
      </c>
      <c r="H254" s="54">
        <v>8183644000</v>
      </c>
      <c r="I254" s="65">
        <v>0.37289414233964474</v>
      </c>
      <c r="J254" s="162">
        <v>6.5161643835616436</v>
      </c>
    </row>
    <row r="255" spans="1:10" hidden="1">
      <c r="A255" s="64">
        <v>2906</v>
      </c>
      <c r="B255" s="150">
        <v>-0.1</v>
      </c>
      <c r="C255" s="159">
        <v>0.53846153846153844</v>
      </c>
      <c r="D255" s="152">
        <v>200000000</v>
      </c>
      <c r="E255" s="26">
        <f>VLOOKUP(2906,季財報!$A:$H,8,0)</f>
        <v>2</v>
      </c>
      <c r="F255" s="159">
        <v>3.3666666666666623E-3</v>
      </c>
      <c r="G255" s="152">
        <v>2280000000</v>
      </c>
      <c r="H255" s="152">
        <v>5966939000</v>
      </c>
      <c r="I255" s="150">
        <v>0.37820121200218226</v>
      </c>
      <c r="J255" s="152">
        <v>0</v>
      </c>
    </row>
    <row r="256" spans="1:10" hidden="1">
      <c r="A256" s="64">
        <v>2481</v>
      </c>
      <c r="B256" s="150">
        <v>0.49</v>
      </c>
      <c r="C256" s="159">
        <v>0.91417910447761197</v>
      </c>
      <c r="D256" s="152">
        <v>389795918.36734694</v>
      </c>
      <c r="E256" s="26">
        <f>VLOOKUP(2481,季財報!$A:$H,8,0)</f>
        <v>2</v>
      </c>
      <c r="F256" s="159">
        <v>1.6499999999999946E-3</v>
      </c>
      <c r="G256" s="152">
        <v>5885918367.3469391</v>
      </c>
      <c r="H256" s="152">
        <v>15209598000</v>
      </c>
      <c r="I256" s="150">
        <v>0.37841830830313355</v>
      </c>
      <c r="J256" s="152">
        <v>8.4273219491878386</v>
      </c>
    </row>
    <row r="257" spans="1:10" hidden="1">
      <c r="A257" s="64">
        <v>2007</v>
      </c>
      <c r="B257" s="150">
        <v>-0.24</v>
      </c>
      <c r="C257" s="159">
        <v>0.54225352112676062</v>
      </c>
      <c r="D257" s="152">
        <v>620833333.33333337</v>
      </c>
      <c r="E257" s="26">
        <f>VLOOKUP(2007,季財報!$A:$H,8,0)</f>
        <v>1</v>
      </c>
      <c r="F257" s="159">
        <v>2.6283333333333336E-2</v>
      </c>
      <c r="G257" s="152">
        <v>2781333333.333334</v>
      </c>
      <c r="H257" s="152">
        <v>7472584000</v>
      </c>
      <c r="I257" s="150">
        <v>0.37874511810751638</v>
      </c>
      <c r="J257" s="152">
        <v>0</v>
      </c>
    </row>
    <row r="258" spans="1:10" hidden="1">
      <c r="A258" s="64">
        <v>6221</v>
      </c>
      <c r="B258" s="52">
        <v>0.66</v>
      </c>
      <c r="C258" s="160">
        <v>0.89583333333333337</v>
      </c>
      <c r="D258" s="157">
        <v>37878787.878787875</v>
      </c>
      <c r="E258" s="26">
        <f>VLOOKUP(6221,季財報!$A:$H,8,0)</f>
        <v>2</v>
      </c>
      <c r="F258" s="160">
        <v>4.2208333333333327E-2</v>
      </c>
      <c r="G258" s="54">
        <v>865530303.030303</v>
      </c>
      <c r="H258" s="54">
        <v>2247192000</v>
      </c>
      <c r="I258" s="65">
        <v>0.37980995818958896</v>
      </c>
      <c r="J258" s="162">
        <v>9.661733615221987</v>
      </c>
    </row>
    <row r="259" spans="1:10" hidden="1">
      <c r="A259" s="64">
        <v>2201</v>
      </c>
      <c r="B259" s="150">
        <v>0.53</v>
      </c>
      <c r="C259" s="159">
        <v>1.0533707865168539E-2</v>
      </c>
      <c r="D259" s="152">
        <v>1466037735.8490565</v>
      </c>
      <c r="E259" s="26">
        <f>VLOOKUP(2201,季財報!$A:$H,8,0)</f>
        <v>1</v>
      </c>
      <c r="F259" s="159">
        <v>2.8049999999999995E-2</v>
      </c>
      <c r="G259" s="152">
        <v>45740377358.490562</v>
      </c>
      <c r="H259" s="152">
        <v>119073729000</v>
      </c>
      <c r="I259" s="150">
        <v>0.38096471579130248</v>
      </c>
      <c r="J259" s="152">
        <v>50</v>
      </c>
    </row>
    <row r="260" spans="1:10" hidden="1">
      <c r="A260" s="64">
        <v>2601</v>
      </c>
      <c r="B260" s="150">
        <v>-3.22</v>
      </c>
      <c r="C260" s="159">
        <v>0</v>
      </c>
      <c r="D260" s="152">
        <v>370496894.40993786</v>
      </c>
      <c r="E260" s="26">
        <f>VLOOKUP(2601,季財報!$A:$H,8,0)</f>
        <v>0</v>
      </c>
      <c r="F260" s="159">
        <v>-9.4999999999999978E-4</v>
      </c>
      <c r="G260" s="152">
        <v>3386341614.9068322</v>
      </c>
      <c r="H260" s="152">
        <v>8785661000</v>
      </c>
      <c r="I260" s="150">
        <v>0.38171256166491407</v>
      </c>
      <c r="J260" s="152">
        <v>0</v>
      </c>
    </row>
    <row r="261" spans="1:10" hidden="1">
      <c r="A261" s="64">
        <v>9950</v>
      </c>
      <c r="B261" s="52">
        <v>0.49</v>
      </c>
      <c r="C261" s="160">
        <v>0.62790697674418605</v>
      </c>
      <c r="D261" s="157">
        <v>65306122.448979594</v>
      </c>
      <c r="E261" s="26">
        <f>VLOOKUP(9950,季財報!$A:$H,8,0)</f>
        <v>3</v>
      </c>
      <c r="F261" s="160">
        <v>4.9133333333333327E-2</v>
      </c>
      <c r="G261" s="54">
        <v>1302857142.8571429</v>
      </c>
      <c r="H261" s="54">
        <v>3418359000</v>
      </c>
      <c r="I261" s="65">
        <v>0.38299918684065193</v>
      </c>
      <c r="J261" s="162">
        <v>16.210317460317459</v>
      </c>
    </row>
    <row r="262" spans="1:10" hidden="1">
      <c r="A262" s="64">
        <v>3162</v>
      </c>
      <c r="B262" s="150">
        <v>0.11</v>
      </c>
      <c r="C262" s="159">
        <v>0.75</v>
      </c>
      <c r="D262" s="152">
        <v>54545454.545454547</v>
      </c>
      <c r="E262" s="26">
        <f>VLOOKUP(3162,季財報!$A:$H,8,0)</f>
        <v>2</v>
      </c>
      <c r="F262" s="159">
        <v>-2.2641666666666668E-2</v>
      </c>
      <c r="G262" s="152">
        <v>310909090.90909094</v>
      </c>
      <c r="H262" s="152">
        <v>785527000</v>
      </c>
      <c r="I262" s="150">
        <v>0.38613853002029491</v>
      </c>
      <c r="J262" s="152">
        <v>17.272727272727273</v>
      </c>
    </row>
    <row r="263" spans="1:10" hidden="1">
      <c r="A263" s="64">
        <v>1413</v>
      </c>
      <c r="B263" s="150">
        <v>-0.28000000000000003</v>
      </c>
      <c r="C263" s="159">
        <v>0</v>
      </c>
      <c r="D263" s="152">
        <v>132142857.14285713</v>
      </c>
      <c r="E263" s="26">
        <f>VLOOKUP(1413,季財報!$A:$H,8,0)</f>
        <v>2</v>
      </c>
      <c r="F263" s="159">
        <v>-4.9000000000000024E-3</v>
      </c>
      <c r="G263" s="152">
        <v>1013535714.2857143</v>
      </c>
      <c r="H263" s="152">
        <v>2566519000</v>
      </c>
      <c r="I263" s="150">
        <v>0.38636818858438093</v>
      </c>
      <c r="J263" s="152">
        <v>0</v>
      </c>
    </row>
    <row r="264" spans="1:10" hidden="1">
      <c r="A264" s="64">
        <v>3029</v>
      </c>
      <c r="B264" s="150">
        <v>0.5</v>
      </c>
      <c r="C264" s="159">
        <v>0.93617021276595747</v>
      </c>
      <c r="D264" s="152">
        <v>120000000</v>
      </c>
      <c r="E264" s="26">
        <f>VLOOKUP(3029,季財報!$A:$H,8,0)</f>
        <v>2</v>
      </c>
      <c r="F264" s="159">
        <v>5.1941666666666664E-2</v>
      </c>
      <c r="G264" s="152">
        <v>2142000000.0000002</v>
      </c>
      <c r="H264" s="152">
        <v>5486718000</v>
      </c>
      <c r="I264" s="150">
        <v>0.38955689267452998</v>
      </c>
      <c r="J264" s="152">
        <v>9.533522727272727</v>
      </c>
    </row>
    <row r="265" spans="1:10" hidden="1">
      <c r="A265" s="64">
        <v>3317</v>
      </c>
      <c r="B265" s="150">
        <v>-0.06</v>
      </c>
      <c r="C265" s="159">
        <v>1</v>
      </c>
      <c r="D265" s="152">
        <v>66666666.666666672</v>
      </c>
      <c r="E265" s="26">
        <f>VLOOKUP(3317,季財報!$A:$H,8,0)</f>
        <v>4</v>
      </c>
      <c r="F265" s="159">
        <v>3.0216666666666673E-2</v>
      </c>
      <c r="G265" s="152">
        <v>773333333.33333337</v>
      </c>
      <c r="H265" s="152">
        <v>2011467000</v>
      </c>
      <c r="I265" s="150">
        <v>0.39195094936601937</v>
      </c>
      <c r="J265" s="152">
        <v>0</v>
      </c>
    </row>
    <row r="266" spans="1:10" hidden="1">
      <c r="A266" s="64">
        <v>2731</v>
      </c>
      <c r="B266" s="150">
        <v>1.45</v>
      </c>
      <c r="C266" s="159">
        <v>0.76086956521739135</v>
      </c>
      <c r="D266" s="152">
        <v>69655172.413793102</v>
      </c>
      <c r="E266" s="26">
        <f>VLOOKUP(2731,季財報!$A:$H,8,0)</f>
        <v>1</v>
      </c>
      <c r="F266" s="159">
        <v>2.6241666666666663E-2</v>
      </c>
      <c r="G266" s="152">
        <v>8149655172.4137926</v>
      </c>
      <c r="H266" s="152">
        <v>20895331000</v>
      </c>
      <c r="I266" s="150">
        <v>0.39271267772633123</v>
      </c>
      <c r="J266" s="152">
        <v>26.512315270935957</v>
      </c>
    </row>
    <row r="267" spans="1:10" hidden="1">
      <c r="A267" s="64">
        <v>8932</v>
      </c>
      <c r="B267" s="52">
        <v>0.33</v>
      </c>
      <c r="C267" s="160">
        <v>1</v>
      </c>
      <c r="D267" s="157">
        <v>48484848.484848484</v>
      </c>
      <c r="E267" s="26">
        <f>VLOOKUP(8932,季財報!$A:$H,8,0)</f>
        <v>2</v>
      </c>
      <c r="F267" s="160">
        <v>6.8049999999999999E-2</v>
      </c>
      <c r="G267" s="54">
        <v>468363636.36363637</v>
      </c>
      <c r="H267" s="54">
        <v>1188940000</v>
      </c>
      <c r="I267" s="65">
        <v>0.39288922361749246</v>
      </c>
      <c r="J267" s="162">
        <v>7.3181818181818183</v>
      </c>
    </row>
    <row r="268" spans="1:10" hidden="1">
      <c r="A268" s="64">
        <v>3402</v>
      </c>
      <c r="B268" s="150">
        <v>0.24</v>
      </c>
      <c r="C268" s="159">
        <v>0.84848484848484851</v>
      </c>
      <c r="D268" s="152">
        <v>70833333.333333343</v>
      </c>
      <c r="E268" s="26">
        <f>VLOOKUP(3402,季財報!$A:$H,8,0)</f>
        <v>1</v>
      </c>
      <c r="F268" s="159">
        <v>2.3049999999999998E-2</v>
      </c>
      <c r="G268" s="152">
        <v>966875000.00000012</v>
      </c>
      <c r="H268" s="152">
        <v>2465873000</v>
      </c>
      <c r="I268" s="150">
        <v>0.3934603882291709</v>
      </c>
      <c r="J268" s="152">
        <v>16.7578125</v>
      </c>
    </row>
    <row r="269" spans="1:10" hidden="1">
      <c r="A269" s="64">
        <v>2460</v>
      </c>
      <c r="B269" s="150">
        <v>-0.14000000000000001</v>
      </c>
      <c r="C269" s="159">
        <v>1</v>
      </c>
      <c r="D269" s="152">
        <v>164285714.28571427</v>
      </c>
      <c r="E269" s="26">
        <f>VLOOKUP(2460,季財報!$A:$H,8,0)</f>
        <v>3</v>
      </c>
      <c r="F269" s="159">
        <v>3.2349999999999997E-2</v>
      </c>
      <c r="G269" s="152">
        <v>1481857142.8571427</v>
      </c>
      <c r="H269" s="152">
        <v>3752381000</v>
      </c>
      <c r="I269" s="150">
        <v>0.394348600208834</v>
      </c>
      <c r="J269" s="152">
        <v>0</v>
      </c>
    </row>
    <row r="270" spans="1:10" hidden="1">
      <c r="A270" s="64">
        <v>3294</v>
      </c>
      <c r="B270" s="150">
        <v>0.68</v>
      </c>
      <c r="C270" s="159">
        <v>1</v>
      </c>
      <c r="D270" s="152">
        <v>130882352.94117646</v>
      </c>
      <c r="E270" s="26">
        <f>VLOOKUP(3294,季財報!$A:$H,8,0)</f>
        <v>5</v>
      </c>
      <c r="F270" s="159">
        <v>1.8191666666666668E-2</v>
      </c>
      <c r="G270" s="152">
        <v>2342794117.6470585</v>
      </c>
      <c r="H270" s="152">
        <v>6003371000</v>
      </c>
      <c r="I270" s="150">
        <v>0.39439902777854519</v>
      </c>
      <c r="J270" s="152">
        <v>6.5808823529411757</v>
      </c>
    </row>
    <row r="271" spans="1:10" hidden="1">
      <c r="A271" s="64">
        <v>2486</v>
      </c>
      <c r="B271" s="150">
        <v>-0.02</v>
      </c>
      <c r="C271" s="159">
        <v>1</v>
      </c>
      <c r="D271" s="152">
        <v>250000000</v>
      </c>
      <c r="E271" s="26">
        <f>VLOOKUP(2486,季財報!$A:$H,8,0)</f>
        <v>2</v>
      </c>
      <c r="F271" s="159">
        <v>4.4166666666666625E-3</v>
      </c>
      <c r="G271" s="152">
        <v>2537500000</v>
      </c>
      <c r="H271" s="152">
        <v>6405514000</v>
      </c>
      <c r="I271" s="150">
        <v>0.39551930788875145</v>
      </c>
      <c r="J271" s="152">
        <v>0</v>
      </c>
    </row>
    <row r="272" spans="1:10" hidden="1">
      <c r="A272" s="64">
        <v>8213</v>
      </c>
      <c r="B272" s="52">
        <v>1.1000000000000001</v>
      </c>
      <c r="C272" s="160">
        <v>0.86817325800376643</v>
      </c>
      <c r="D272" s="157">
        <v>270909090.90909088</v>
      </c>
      <c r="E272" s="26">
        <f>VLOOKUP(8213,季財報!$A:$H,8,0)</f>
        <v>3</v>
      </c>
      <c r="F272" s="160">
        <v>4.3666666666666715E-3</v>
      </c>
      <c r="G272" s="54">
        <v>9021272727.2727261</v>
      </c>
      <c r="H272" s="54">
        <v>22654562000</v>
      </c>
      <c r="I272" s="65">
        <v>0.39577961586771304</v>
      </c>
      <c r="J272" s="162">
        <v>8.7173634391638721</v>
      </c>
    </row>
    <row r="273" spans="1:10" hidden="1">
      <c r="A273" s="64">
        <v>1566</v>
      </c>
      <c r="B273" s="150">
        <v>0.42</v>
      </c>
      <c r="C273" s="159">
        <v>8.3333333333333329E-2</v>
      </c>
      <c r="D273" s="152">
        <v>66666666.666666672</v>
      </c>
      <c r="E273" s="26">
        <f>VLOOKUP(1566,季財報!$A:$H,8,0)</f>
        <v>3</v>
      </c>
      <c r="F273" s="159">
        <v>0.15443333333333334</v>
      </c>
      <c r="G273" s="152">
        <v>1520000000.0000002</v>
      </c>
      <c r="H273" s="152">
        <v>4116351000</v>
      </c>
      <c r="I273" s="150">
        <v>0.39604558901619674</v>
      </c>
      <c r="J273" s="152">
        <v>50</v>
      </c>
    </row>
    <row r="274" spans="1:10" hidden="1">
      <c r="A274" s="64">
        <v>1473</v>
      </c>
      <c r="B274" s="150">
        <v>0.36</v>
      </c>
      <c r="C274" s="159">
        <v>1</v>
      </c>
      <c r="D274" s="152">
        <v>147222222.22222224</v>
      </c>
      <c r="E274" s="26">
        <f>VLOOKUP(1473,季財報!$A:$H,8,0)</f>
        <v>4</v>
      </c>
      <c r="F274" s="159">
        <v>1.2425000000000011E-2</v>
      </c>
      <c r="G274" s="152">
        <v>3768888888.8888893</v>
      </c>
      <c r="H274" s="152">
        <v>9318978000</v>
      </c>
      <c r="I274" s="150">
        <v>0.39957948970730595</v>
      </c>
      <c r="J274" s="152">
        <v>17.777777777777779</v>
      </c>
    </row>
    <row r="275" spans="1:10" hidden="1">
      <c r="A275" s="64">
        <v>3379</v>
      </c>
      <c r="B275" s="150">
        <v>-0.46</v>
      </c>
      <c r="C275" s="159">
        <v>1</v>
      </c>
      <c r="D275" s="152">
        <v>39130434.782608695</v>
      </c>
      <c r="E275" s="26">
        <f>VLOOKUP(3379,季財報!$A:$H,8,0)</f>
        <v>2</v>
      </c>
      <c r="F275" s="159">
        <v>1.1595916666666668</v>
      </c>
      <c r="G275" s="152">
        <v>559565217.39130437</v>
      </c>
      <c r="H275" s="152">
        <v>1458686000</v>
      </c>
      <c r="I275" s="150">
        <v>0.40377273700126304</v>
      </c>
      <c r="J275" s="152">
        <v>0</v>
      </c>
    </row>
    <row r="276" spans="1:10" hidden="1">
      <c r="A276" s="64">
        <v>2734</v>
      </c>
      <c r="B276" s="150">
        <v>-0.34</v>
      </c>
      <c r="C276" s="159">
        <v>0.66666666666666663</v>
      </c>
      <c r="D276" s="152">
        <v>29411764.705882352</v>
      </c>
      <c r="E276" s="26">
        <f>VLOOKUP(2734,季財報!$A:$H,8,0)</f>
        <v>3</v>
      </c>
      <c r="F276" s="159">
        <v>2.4799999999999999E-2</v>
      </c>
      <c r="G276" s="152">
        <v>711764705.88235295</v>
      </c>
      <c r="H276" s="152">
        <v>1783495000</v>
      </c>
      <c r="I276" s="150">
        <v>0.40527158521679119</v>
      </c>
      <c r="J276" s="152">
        <v>0</v>
      </c>
    </row>
    <row r="277" spans="1:10" hidden="1">
      <c r="A277" s="64">
        <v>3703</v>
      </c>
      <c r="B277" s="150">
        <v>-0.14000000000000001</v>
      </c>
      <c r="C277" s="159">
        <v>0.23030303030303031</v>
      </c>
      <c r="D277" s="152">
        <v>914285714.28571415</v>
      </c>
      <c r="E277" s="26">
        <f>VLOOKUP(3703,季財報!$A:$H,8,0)</f>
        <v>0</v>
      </c>
      <c r="F277" s="159">
        <v>0.10058333333333332</v>
      </c>
      <c r="G277" s="152">
        <v>8731428571.4285717</v>
      </c>
      <c r="H277" s="152">
        <v>20901437000</v>
      </c>
      <c r="I277" s="150">
        <v>0.40604696945661817</v>
      </c>
      <c r="J277" s="152">
        <v>0</v>
      </c>
    </row>
    <row r="278" spans="1:10" hidden="1">
      <c r="A278" s="64">
        <v>3236</v>
      </c>
      <c r="B278" s="150">
        <v>0.73</v>
      </c>
      <c r="C278" s="159">
        <v>0</v>
      </c>
      <c r="D278" s="152">
        <v>60273972.602739729</v>
      </c>
      <c r="E278" s="26">
        <f>VLOOKUP(3236,季財報!$A:$H,8,0)</f>
        <v>6</v>
      </c>
      <c r="F278" s="159">
        <v>1.7675000000000003E-2</v>
      </c>
      <c r="G278" s="152">
        <v>744383561.64383566</v>
      </c>
      <c r="H278" s="152">
        <v>1847476000</v>
      </c>
      <c r="I278" s="150">
        <v>0.40659300509335933</v>
      </c>
      <c r="J278" s="152">
        <v>0</v>
      </c>
    </row>
    <row r="279" spans="1:10" hidden="1">
      <c r="A279" s="64">
        <v>2365</v>
      </c>
      <c r="B279" s="150">
        <v>0.11</v>
      </c>
      <c r="C279" s="159">
        <v>0</v>
      </c>
      <c r="D279" s="152">
        <v>281818181.81818181</v>
      </c>
      <c r="E279" s="26">
        <f>VLOOKUP(2365,季財報!$A:$H,8,0)</f>
        <v>2</v>
      </c>
      <c r="F279" s="159">
        <v>-2.2566666666666676E-2</v>
      </c>
      <c r="G279" s="152">
        <v>2527909090.909091</v>
      </c>
      <c r="H279" s="152">
        <v>5934686000</v>
      </c>
      <c r="I279" s="150">
        <v>0.40925670463799246</v>
      </c>
      <c r="J279" s="152">
        <v>0</v>
      </c>
    </row>
    <row r="280" spans="1:10" hidden="1">
      <c r="A280" s="64">
        <v>1569</v>
      </c>
      <c r="B280" s="150">
        <v>-1.01</v>
      </c>
      <c r="C280" s="159">
        <v>0.83805668016194335</v>
      </c>
      <c r="D280" s="152">
        <v>94059405.940594062</v>
      </c>
      <c r="E280" s="26">
        <f>VLOOKUP(1569,季財報!$A:$H,8,0)</f>
        <v>1</v>
      </c>
      <c r="F280" s="159">
        <v>1.8358333333333331E-2</v>
      </c>
      <c r="G280" s="152">
        <v>987623762.37623763</v>
      </c>
      <c r="H280" s="152">
        <v>2407095000</v>
      </c>
      <c r="I280" s="150">
        <v>0.40992162549199485</v>
      </c>
      <c r="J280" s="152">
        <v>0</v>
      </c>
    </row>
    <row r="281" spans="1:10" hidden="1">
      <c r="A281" s="64">
        <v>2614</v>
      </c>
      <c r="B281" s="150">
        <v>-0.42</v>
      </c>
      <c r="C281" s="159">
        <v>1</v>
      </c>
      <c r="D281" s="152">
        <v>690476190.47619045</v>
      </c>
      <c r="E281" s="26">
        <f>VLOOKUP(2614,季財報!$A:$H,8,0)</f>
        <v>3</v>
      </c>
      <c r="F281" s="159">
        <v>-1.1291666666666667E-2</v>
      </c>
      <c r="G281" s="152">
        <v>4798809523.8095236</v>
      </c>
      <c r="H281" s="152">
        <v>11512757000</v>
      </c>
      <c r="I281" s="150">
        <v>0.41079680226719556</v>
      </c>
      <c r="J281" s="152">
        <v>0</v>
      </c>
    </row>
    <row r="282" spans="1:10" hidden="1">
      <c r="A282" s="64">
        <v>3434</v>
      </c>
      <c r="B282" s="150">
        <v>0.44</v>
      </c>
      <c r="C282" s="159">
        <v>0.5</v>
      </c>
      <c r="D282" s="152">
        <v>22727272.727272727</v>
      </c>
      <c r="E282" s="26">
        <f>VLOOKUP(3434,季財報!$A:$H,8,0)</f>
        <v>4</v>
      </c>
      <c r="F282" s="159">
        <v>6.8450000000000011E-2</v>
      </c>
      <c r="G282" s="152">
        <v>286363636.36363637</v>
      </c>
      <c r="H282" s="152">
        <v>716851000</v>
      </c>
      <c r="I282" s="150">
        <v>0.41168866456430991</v>
      </c>
      <c r="J282" s="152">
        <v>14.318181818181818</v>
      </c>
    </row>
    <row r="283" spans="1:10" hidden="1">
      <c r="A283" s="64">
        <v>6167</v>
      </c>
      <c r="B283" s="52">
        <v>0.12</v>
      </c>
      <c r="C283" s="160">
        <v>1</v>
      </c>
      <c r="D283" s="157">
        <v>175000000</v>
      </c>
      <c r="E283" s="26">
        <f>VLOOKUP(6167,季財報!$A:$H,8,0)</f>
        <v>1</v>
      </c>
      <c r="F283" s="160">
        <v>1.9141666666666658E-2</v>
      </c>
      <c r="G283" s="54">
        <v>782250000</v>
      </c>
      <c r="H283" s="54">
        <v>1894534000</v>
      </c>
      <c r="I283" s="65">
        <v>0.41179570300593754</v>
      </c>
      <c r="J283" s="162">
        <v>9.3125</v>
      </c>
    </row>
    <row r="284" spans="1:10" hidden="1">
      <c r="A284" s="64">
        <v>9933</v>
      </c>
      <c r="B284" s="52">
        <v>0.59</v>
      </c>
      <c r="C284" s="160">
        <v>0.66404715127701375</v>
      </c>
      <c r="D284" s="157">
        <v>766101694.91525424</v>
      </c>
      <c r="E284" s="26">
        <f>VLOOKUP(9933,季財報!$A:$H,8,0)</f>
        <v>1</v>
      </c>
      <c r="F284" s="160">
        <v>3.1808333333333334E-2</v>
      </c>
      <c r="G284" s="54">
        <v>26430508474.576271</v>
      </c>
      <c r="H284" s="54">
        <v>65279945000</v>
      </c>
      <c r="I284" s="65">
        <v>0.41223128413682764</v>
      </c>
      <c r="J284" s="162">
        <v>22.014466954167087</v>
      </c>
    </row>
    <row r="285" spans="1:10" hidden="1">
      <c r="A285" s="64">
        <v>2610</v>
      </c>
      <c r="B285" s="150">
        <v>0.39</v>
      </c>
      <c r="C285" s="159">
        <v>0.9237157797600738</v>
      </c>
      <c r="D285" s="152">
        <v>5471794871.7948713</v>
      </c>
      <c r="E285" s="26">
        <f>VLOOKUP(2610,季財報!$A:$H,8,0)</f>
        <v>4</v>
      </c>
      <c r="F285" s="159">
        <v>-3.7999999999999996E-3</v>
      </c>
      <c r="G285" s="152">
        <v>60736923076.923073</v>
      </c>
      <c r="H285" s="152">
        <v>146283224000</v>
      </c>
      <c r="I285" s="150">
        <v>0.41238992548490927</v>
      </c>
      <c r="J285" s="152">
        <v>7.7030021260790491</v>
      </c>
    </row>
    <row r="286" spans="1:10" hidden="1">
      <c r="A286" s="64">
        <v>1471</v>
      </c>
      <c r="B286" s="150">
        <v>-0.22</v>
      </c>
      <c r="C286" s="159">
        <v>1</v>
      </c>
      <c r="D286" s="152">
        <v>200000000</v>
      </c>
      <c r="E286" s="26">
        <f>VLOOKUP(1471,季財報!$A:$H,8,0)</f>
        <v>1</v>
      </c>
      <c r="F286" s="159">
        <v>-4.4925E-2</v>
      </c>
      <c r="G286" s="152">
        <v>850000000</v>
      </c>
      <c r="H286" s="152">
        <v>1887723000</v>
      </c>
      <c r="I286" s="150">
        <v>0.41443501537066335</v>
      </c>
      <c r="J286" s="152">
        <v>0</v>
      </c>
    </row>
    <row r="287" spans="1:10" hidden="1">
      <c r="A287" s="64">
        <v>4121</v>
      </c>
      <c r="B287" s="52">
        <v>0.14000000000000001</v>
      </c>
      <c r="C287" s="160">
        <v>0</v>
      </c>
      <c r="D287" s="157">
        <v>78571428.571428567</v>
      </c>
      <c r="E287" s="26">
        <f>VLOOKUP(4121,季財報!$A:$H,8,0)</f>
        <v>3</v>
      </c>
      <c r="F287" s="160">
        <v>1.6333333333333328E-3</v>
      </c>
      <c r="G287" s="54">
        <v>1426071428.5714283</v>
      </c>
      <c r="H287" s="54">
        <v>3427213000</v>
      </c>
      <c r="I287" s="65">
        <v>0.41598341416933887</v>
      </c>
      <c r="J287" s="162">
        <v>0</v>
      </c>
    </row>
    <row r="288" spans="1:10" hidden="1">
      <c r="A288" s="64">
        <v>6246</v>
      </c>
      <c r="B288" s="52">
        <v>0.13</v>
      </c>
      <c r="C288" s="160">
        <v>0</v>
      </c>
      <c r="D288" s="157">
        <v>130769230.76923077</v>
      </c>
      <c r="E288" s="26">
        <f>VLOOKUP(6246,季財報!$A:$H,8,0)</f>
        <v>3</v>
      </c>
      <c r="F288" s="160">
        <v>-8.5166666666666706E-3</v>
      </c>
      <c r="G288" s="54">
        <v>375307692.30769229</v>
      </c>
      <c r="H288" s="54">
        <v>878340000</v>
      </c>
      <c r="I288" s="65">
        <v>0.41626712899989493</v>
      </c>
      <c r="J288" s="162">
        <v>0</v>
      </c>
    </row>
    <row r="289" spans="1:11" hidden="1">
      <c r="A289" s="64">
        <v>1715</v>
      </c>
      <c r="B289" s="150">
        <v>0.31</v>
      </c>
      <c r="C289" s="159">
        <v>0.60377358490566035</v>
      </c>
      <c r="D289" s="152">
        <v>409677419.35483873</v>
      </c>
      <c r="E289" s="26">
        <f>VLOOKUP(1715,季財報!$A:$H,8,0)</f>
        <v>5</v>
      </c>
      <c r="F289" s="159">
        <v>-2.3129646346357427E-18</v>
      </c>
      <c r="G289" s="152">
        <v>4608870967.7419357</v>
      </c>
      <c r="H289" s="152">
        <v>11156959000</v>
      </c>
      <c r="I289" s="150">
        <v>0.41633963061194024</v>
      </c>
      <c r="J289" s="152">
        <v>15.026461693548386</v>
      </c>
    </row>
    <row r="290" spans="1:11" hidden="1">
      <c r="A290" s="64">
        <v>6145</v>
      </c>
      <c r="B290" s="52">
        <v>0.1</v>
      </c>
      <c r="C290" s="160">
        <v>0</v>
      </c>
      <c r="D290" s="157">
        <v>340000000</v>
      </c>
      <c r="E290" s="26">
        <f>VLOOKUP(6145,季財報!$A:$H,8,0)</f>
        <v>2</v>
      </c>
      <c r="F290" s="160">
        <v>4.4891666666666684E-2</v>
      </c>
      <c r="G290" s="54">
        <v>3961000000</v>
      </c>
      <c r="H290" s="54">
        <v>8994989000</v>
      </c>
      <c r="I290" s="65">
        <v>0.41694008294170859</v>
      </c>
      <c r="J290" s="162">
        <v>0</v>
      </c>
    </row>
    <row r="291" spans="1:11" hidden="1">
      <c r="A291" s="64">
        <v>2440</v>
      </c>
      <c r="B291" s="150">
        <v>-0.11</v>
      </c>
      <c r="C291" s="159">
        <v>1</v>
      </c>
      <c r="D291" s="152">
        <v>136363636.36363637</v>
      </c>
      <c r="E291" s="26">
        <f>VLOOKUP(2440,季財報!$A:$H,8,0)</f>
        <v>0</v>
      </c>
      <c r="F291" s="159">
        <v>3.6058333333333338E-2</v>
      </c>
      <c r="G291" s="152">
        <v>1036363636.3636364</v>
      </c>
      <c r="H291" s="152">
        <v>2483928000</v>
      </c>
      <c r="I291" s="150">
        <v>0.41771187766289031</v>
      </c>
      <c r="J291" s="152">
        <v>0</v>
      </c>
    </row>
    <row r="292" spans="1:11" hidden="1">
      <c r="A292" s="64">
        <v>3598</v>
      </c>
      <c r="B292" s="150">
        <v>1.4</v>
      </c>
      <c r="C292" s="159">
        <v>0.77464788732394363</v>
      </c>
      <c r="D292" s="152">
        <v>72142857.142857149</v>
      </c>
      <c r="E292" s="26">
        <f>VLOOKUP(3598,季財報!$A:$H,8,0)</f>
        <v>2</v>
      </c>
      <c r="F292" s="159">
        <v>2.7166666666666606E-3</v>
      </c>
      <c r="G292" s="152">
        <v>3545821428.5714288</v>
      </c>
      <c r="H292" s="152">
        <v>8272404000</v>
      </c>
      <c r="I292" s="150">
        <v>0.41774645054579318</v>
      </c>
      <c r="J292" s="152">
        <v>11.330032467532469</v>
      </c>
    </row>
    <row r="293" spans="1:11" hidden="1">
      <c r="A293" s="64">
        <v>6702</v>
      </c>
      <c r="B293" s="52">
        <v>-0.32</v>
      </c>
      <c r="C293" s="160">
        <v>1</v>
      </c>
      <c r="D293" s="157">
        <v>640625000</v>
      </c>
      <c r="E293" s="26">
        <f>VLOOKUP(6702,季財報!$A:$H,8,0)</f>
        <v>2</v>
      </c>
      <c r="F293" s="160">
        <v>-5.9916666666666703E-3</v>
      </c>
      <c r="G293" s="54">
        <v>4535625000</v>
      </c>
      <c r="H293" s="54">
        <v>10672312000</v>
      </c>
      <c r="I293" s="65">
        <v>0.41851732409123438</v>
      </c>
      <c r="J293" s="162">
        <v>0</v>
      </c>
    </row>
    <row r="294" spans="1:11" hidden="1">
      <c r="A294" s="64">
        <v>2911</v>
      </c>
      <c r="B294" s="150">
        <v>-0.02</v>
      </c>
      <c r="C294" s="159">
        <v>1</v>
      </c>
      <c r="D294" s="152">
        <v>250000000</v>
      </c>
      <c r="E294" s="26">
        <f>VLOOKUP(2911,季財報!$A:$H,8,0)</f>
        <v>1</v>
      </c>
      <c r="F294" s="159">
        <v>3.5083333333333334E-3</v>
      </c>
      <c r="G294" s="152">
        <v>3950000000</v>
      </c>
      <c r="H294" s="152">
        <v>9375739000</v>
      </c>
      <c r="I294" s="150">
        <v>0.41929504507899412</v>
      </c>
      <c r="J294" s="152">
        <v>0</v>
      </c>
    </row>
    <row r="295" spans="1:11" hidden="1">
      <c r="A295" s="64">
        <v>1467</v>
      </c>
      <c r="B295" s="150">
        <v>0.14000000000000001</v>
      </c>
      <c r="C295" s="159">
        <v>1</v>
      </c>
      <c r="D295" s="152">
        <v>207142857.14285713</v>
      </c>
      <c r="E295" s="26">
        <f>VLOOKUP(1467,季財報!$A:$H,8,0)</f>
        <v>1</v>
      </c>
      <c r="F295" s="159">
        <v>-9.8583333333333301E-3</v>
      </c>
      <c r="G295" s="152">
        <v>3086428571.4285712</v>
      </c>
      <c r="H295" s="152">
        <v>7110568000</v>
      </c>
      <c r="I295" s="150">
        <v>0.42008817515660557</v>
      </c>
      <c r="J295" s="152">
        <v>26.607142857142854</v>
      </c>
      <c r="K295" s="32"/>
    </row>
    <row r="296" spans="1:11" hidden="1">
      <c r="A296" s="64">
        <v>2431</v>
      </c>
      <c r="B296" s="150">
        <v>0.15</v>
      </c>
      <c r="C296" s="159">
        <v>0</v>
      </c>
      <c r="D296" s="152">
        <v>113333333.33333334</v>
      </c>
      <c r="E296" s="26">
        <f>VLOOKUP(2431,季財報!$A:$H,8,0)</f>
        <v>3</v>
      </c>
      <c r="F296" s="159">
        <v>-1.4424999999999999E-2</v>
      </c>
      <c r="G296" s="152">
        <v>1643333333.3333335</v>
      </c>
      <c r="H296" s="152">
        <v>3770206000</v>
      </c>
      <c r="I296" s="150">
        <v>0.42230210841822852</v>
      </c>
      <c r="J296" s="152">
        <v>0</v>
      </c>
    </row>
    <row r="297" spans="1:11" hidden="1">
      <c r="A297" s="64">
        <v>3508</v>
      </c>
      <c r="B297" s="150">
        <v>-0.85</v>
      </c>
      <c r="C297" s="159">
        <v>0.83854166666666663</v>
      </c>
      <c r="D297" s="152">
        <v>91764705.882352948</v>
      </c>
      <c r="E297" s="26">
        <f>VLOOKUP(3508,季財報!$A:$H,8,0)</f>
        <v>3</v>
      </c>
      <c r="F297" s="159">
        <v>5.3774999999999989E-2</v>
      </c>
      <c r="G297" s="152">
        <v>1280117647.0588236</v>
      </c>
      <c r="H297" s="152">
        <v>3071053000</v>
      </c>
      <c r="I297" s="150">
        <v>0.42241624538109618</v>
      </c>
      <c r="J297" s="152">
        <v>0</v>
      </c>
    </row>
    <row r="298" spans="1:11" hidden="1">
      <c r="A298" s="64">
        <v>8358</v>
      </c>
      <c r="B298" s="52">
        <v>-0.04</v>
      </c>
      <c r="C298" s="160">
        <v>0.95238095238095233</v>
      </c>
      <c r="D298" s="157">
        <v>200000000</v>
      </c>
      <c r="E298" s="26">
        <f>VLOOKUP(8358,季財報!$A:$H,8,0)</f>
        <v>3</v>
      </c>
      <c r="F298" s="160">
        <v>3.1908333333333323E-2</v>
      </c>
      <c r="G298" s="54">
        <v>1726000000.0000002</v>
      </c>
      <c r="H298" s="54">
        <v>4153053000</v>
      </c>
      <c r="I298" s="65">
        <v>0.42288944234211173</v>
      </c>
      <c r="J298" s="162">
        <v>0</v>
      </c>
    </row>
    <row r="299" spans="1:11" hidden="1">
      <c r="A299" s="64">
        <v>3531</v>
      </c>
      <c r="B299" s="150">
        <v>0.14000000000000001</v>
      </c>
      <c r="C299" s="159">
        <v>0</v>
      </c>
      <c r="D299" s="152">
        <v>57142857.142857134</v>
      </c>
      <c r="E299" s="26">
        <f>VLOOKUP(3531,季財報!$A:$H,8,0)</f>
        <v>2</v>
      </c>
      <c r="F299" s="159">
        <v>4.8833333333333324E-3</v>
      </c>
      <c r="G299" s="152">
        <v>748571428.57142842</v>
      </c>
      <c r="H299" s="152">
        <v>1750696000</v>
      </c>
      <c r="I299" s="150">
        <v>0.42295731593870239</v>
      </c>
      <c r="J299" s="152">
        <v>0</v>
      </c>
    </row>
    <row r="300" spans="1:11" hidden="1">
      <c r="A300" s="64">
        <v>1514</v>
      </c>
      <c r="B300" s="150">
        <v>0.33</v>
      </c>
      <c r="C300" s="159">
        <v>0.375</v>
      </c>
      <c r="D300" s="152">
        <v>196969696.96969697</v>
      </c>
      <c r="E300" s="26">
        <f>VLOOKUP(1514,季財報!$A:$H,8,0)</f>
        <v>3</v>
      </c>
      <c r="F300" s="159">
        <v>7.458333333333335E-3</v>
      </c>
      <c r="G300" s="152">
        <v>1630909090.9090908</v>
      </c>
      <c r="H300" s="152">
        <v>3662191000</v>
      </c>
      <c r="I300" s="150">
        <v>0.42443637794512173</v>
      </c>
      <c r="J300" s="152">
        <v>16.727272727272727</v>
      </c>
    </row>
    <row r="301" spans="1:11" hidden="1">
      <c r="A301" s="64">
        <v>2462</v>
      </c>
      <c r="B301" s="150">
        <v>0.82</v>
      </c>
      <c r="C301" s="159">
        <v>0.2696629213483146</v>
      </c>
      <c r="D301" s="152">
        <v>104878048.78048781</v>
      </c>
      <c r="E301" s="26">
        <f>VLOOKUP(2462,季財報!$A:$H,8,0)</f>
        <v>2</v>
      </c>
      <c r="F301" s="159">
        <v>9.2666666666666696E-3</v>
      </c>
      <c r="G301" s="152">
        <v>1819634146.3414636</v>
      </c>
      <c r="H301" s="152">
        <v>4225495000</v>
      </c>
      <c r="I301" s="150">
        <v>0.42593315585861596</v>
      </c>
      <c r="J301" s="152">
        <v>19.615726626016261</v>
      </c>
    </row>
    <row r="302" spans="1:11" hidden="1">
      <c r="A302" s="64">
        <v>5410</v>
      </c>
      <c r="B302" s="52">
        <v>0.36</v>
      </c>
      <c r="C302" s="160">
        <v>0.53061224489795922</v>
      </c>
      <c r="D302" s="157">
        <v>88888888.888888896</v>
      </c>
      <c r="E302" s="26">
        <f>VLOOKUP(5410,季財報!$A:$H,8,0)</f>
        <v>1</v>
      </c>
      <c r="F302" s="160">
        <v>4.2825000000000002E-2</v>
      </c>
      <c r="G302" s="54">
        <v>1004444444.4444445</v>
      </c>
      <c r="H302" s="54">
        <v>2279876000</v>
      </c>
      <c r="I302" s="65">
        <v>0.42707696290642883</v>
      </c>
      <c r="J302" s="162">
        <v>14.788995726495726</v>
      </c>
    </row>
    <row r="303" spans="1:11" hidden="1">
      <c r="A303" s="64">
        <v>2357</v>
      </c>
      <c r="B303" s="150">
        <v>5.67</v>
      </c>
      <c r="C303" s="159">
        <v>0.84255606897328972</v>
      </c>
      <c r="D303" s="152">
        <v>743386243.38624334</v>
      </c>
      <c r="E303" s="26">
        <f>VLOOKUP(2357,季財報!$A:$H,8,0)</f>
        <v>0</v>
      </c>
      <c r="F303" s="159">
        <v>1.4824999999999996E-2</v>
      </c>
      <c r="G303" s="152">
        <v>201829365079.36508</v>
      </c>
      <c r="H303" s="152">
        <v>473414963000</v>
      </c>
      <c r="I303" s="150">
        <v>0.42740553467654013</v>
      </c>
      <c r="J303" s="152">
        <v>14.20783721312079</v>
      </c>
    </row>
    <row r="304" spans="1:11" hidden="1">
      <c r="A304" s="64">
        <v>8070</v>
      </c>
      <c r="B304" s="52">
        <v>0.68</v>
      </c>
      <c r="C304" s="160">
        <v>0</v>
      </c>
      <c r="D304" s="157">
        <v>76470588.235294119</v>
      </c>
      <c r="E304" s="26">
        <f>VLOOKUP(8070,季財報!$A:$H,8,0)</f>
        <v>1</v>
      </c>
      <c r="F304" s="160">
        <v>-4.2083333333333339E-3</v>
      </c>
      <c r="G304" s="54">
        <v>6729411764.7058821</v>
      </c>
      <c r="H304" s="54">
        <v>15504136000</v>
      </c>
      <c r="I304" s="65">
        <v>0.42792149928222339</v>
      </c>
      <c r="J304" s="162">
        <v>0</v>
      </c>
    </row>
    <row r="305" spans="1:10" hidden="1">
      <c r="A305" s="64">
        <v>2413</v>
      </c>
      <c r="B305" s="150">
        <v>0.71</v>
      </c>
      <c r="C305" s="159">
        <v>0.45454545454545453</v>
      </c>
      <c r="D305" s="152">
        <v>126760563.3802817</v>
      </c>
      <c r="E305" s="26">
        <f>VLOOKUP(2413,季財報!$A:$H,8,0)</f>
        <v>4</v>
      </c>
      <c r="F305" s="159">
        <v>1.6825E-2</v>
      </c>
      <c r="G305" s="152">
        <v>1863380281.690141</v>
      </c>
      <c r="H305" s="152">
        <v>4380333000</v>
      </c>
      <c r="I305" s="150">
        <v>0.42838593343789233</v>
      </c>
      <c r="J305" s="152">
        <v>11.387323943661972</v>
      </c>
    </row>
    <row r="306" spans="1:10" hidden="1">
      <c r="A306" s="64">
        <v>3663</v>
      </c>
      <c r="B306" s="150">
        <v>-1.1299999999999999</v>
      </c>
      <c r="C306" s="159">
        <v>0.75490196078431371</v>
      </c>
      <c r="D306" s="152">
        <v>73451327.433628321</v>
      </c>
      <c r="E306" s="26">
        <f>VLOOKUP(3663,季財報!$A:$H,8,0)</f>
        <v>1</v>
      </c>
      <c r="F306" s="159">
        <v>3.2866666666666662E-2</v>
      </c>
      <c r="G306" s="152">
        <v>1153185840.7079647</v>
      </c>
      <c r="H306" s="152">
        <v>2711806000</v>
      </c>
      <c r="I306" s="150">
        <v>0.429946860237579</v>
      </c>
      <c r="J306" s="152">
        <v>0</v>
      </c>
    </row>
    <row r="307" spans="1:10" hidden="1">
      <c r="A307" s="64">
        <v>6123</v>
      </c>
      <c r="B307" s="52">
        <v>0.92</v>
      </c>
      <c r="C307" s="160">
        <v>0.90277777777777779</v>
      </c>
      <c r="D307" s="157">
        <v>53260869.565217391</v>
      </c>
      <c r="E307" s="26">
        <f>VLOOKUP(6123,季財報!$A:$H,8,0)</f>
        <v>3</v>
      </c>
      <c r="F307" s="160">
        <v>1.2758333333333335E-2</v>
      </c>
      <c r="G307" s="54">
        <v>1587173913.0434783</v>
      </c>
      <c r="H307" s="54">
        <v>3702378000</v>
      </c>
      <c r="I307" s="65">
        <v>0.43007027316454449</v>
      </c>
      <c r="J307" s="162">
        <v>8.9698996655518393</v>
      </c>
    </row>
    <row r="308" spans="1:10" hidden="1">
      <c r="A308" s="64">
        <v>8401</v>
      </c>
      <c r="B308" s="52">
        <v>-0.04</v>
      </c>
      <c r="C308" s="160">
        <v>0.72727272727272729</v>
      </c>
      <c r="D308" s="157">
        <v>50000000</v>
      </c>
      <c r="E308" s="26">
        <f>VLOOKUP(8401,季財報!$A:$H,8,0)</f>
        <v>1</v>
      </c>
      <c r="F308" s="160">
        <v>5.500000000000004E-3</v>
      </c>
      <c r="G308" s="54">
        <v>592500000</v>
      </c>
      <c r="H308" s="54">
        <v>1354356000</v>
      </c>
      <c r="I308" s="65">
        <v>0.43032353793492639</v>
      </c>
      <c r="J308" s="162">
        <v>0</v>
      </c>
    </row>
    <row r="309" spans="1:10" hidden="1">
      <c r="A309" s="64">
        <v>8421</v>
      </c>
      <c r="B309" s="52">
        <v>0.4</v>
      </c>
      <c r="C309" s="160">
        <v>0.78947368421052633</v>
      </c>
      <c r="D309" s="157">
        <v>37500000</v>
      </c>
      <c r="E309" s="26">
        <f>VLOOKUP(8421,季財報!$A:$H,8,0)</f>
        <v>5</v>
      </c>
      <c r="F309" s="160">
        <v>6.6866666666666671E-2</v>
      </c>
      <c r="G309" s="54">
        <v>450000000</v>
      </c>
      <c r="H309" s="54">
        <v>1089790000</v>
      </c>
      <c r="I309" s="65">
        <v>0.43038807614617125</v>
      </c>
      <c r="J309" s="162">
        <v>9.4999999999999982</v>
      </c>
    </row>
    <row r="310" spans="1:10" hidden="1">
      <c r="A310" s="64">
        <v>2012</v>
      </c>
      <c r="B310" s="150">
        <v>0.32</v>
      </c>
      <c r="C310" s="159">
        <v>0.43137254901960786</v>
      </c>
      <c r="D310" s="152">
        <v>265625000</v>
      </c>
      <c r="E310" s="26">
        <f>VLOOKUP(2012,季財報!$A:$H,8,0)</f>
        <v>3</v>
      </c>
      <c r="F310" s="159">
        <v>6.6666666666666654E-3</v>
      </c>
      <c r="G310" s="152">
        <v>3785156250</v>
      </c>
      <c r="H310" s="152">
        <v>8665328000</v>
      </c>
      <c r="I310" s="150">
        <v>0.43414381828235482</v>
      </c>
      <c r="J310" s="152">
        <v>25.80788352272727</v>
      </c>
    </row>
    <row r="311" spans="1:10" hidden="1">
      <c r="A311" s="64">
        <v>2465</v>
      </c>
      <c r="B311" s="150">
        <v>-0.37</v>
      </c>
      <c r="C311" s="159">
        <v>1</v>
      </c>
      <c r="D311" s="152">
        <v>108108108.1081081</v>
      </c>
      <c r="E311" s="26">
        <f>VLOOKUP(2465,季財報!$A:$H,8,0)</f>
        <v>2</v>
      </c>
      <c r="F311" s="159">
        <v>8.981666666666667E-2</v>
      </c>
      <c r="G311" s="152">
        <v>1015135135.1351352</v>
      </c>
      <c r="H311" s="152">
        <v>2394403000</v>
      </c>
      <c r="I311" s="150">
        <v>0.43509452515438879</v>
      </c>
      <c r="J311" s="152">
        <v>0</v>
      </c>
    </row>
    <row r="312" spans="1:10" hidden="1">
      <c r="A312" s="64">
        <v>5255</v>
      </c>
      <c r="B312" s="52">
        <v>0.06</v>
      </c>
      <c r="C312" s="160">
        <v>1</v>
      </c>
      <c r="D312" s="157">
        <v>33333333.333333336</v>
      </c>
      <c r="E312" s="26">
        <f>VLOOKUP(5255,季財報!$A:$H,8,0)</f>
        <v>2</v>
      </c>
      <c r="F312" s="160">
        <v>2.6208333333333333E-2</v>
      </c>
      <c r="G312" s="54">
        <v>500000000.00000006</v>
      </c>
      <c r="H312" s="54">
        <v>1157741000</v>
      </c>
      <c r="I312" s="65">
        <v>0.43622328350500178</v>
      </c>
      <c r="J312" s="162">
        <v>50</v>
      </c>
    </row>
    <row r="313" spans="1:10" hidden="1">
      <c r="A313" s="64">
        <v>2421</v>
      </c>
      <c r="B313" s="150">
        <v>0.7</v>
      </c>
      <c r="C313" s="159">
        <v>0.65461847389558236</v>
      </c>
      <c r="D313" s="152">
        <v>251428571.42857143</v>
      </c>
      <c r="E313" s="26">
        <f>VLOOKUP(2421,季財報!$A:$H,8,0)</f>
        <v>5</v>
      </c>
      <c r="F313" s="159">
        <v>1.8566666666666665E-2</v>
      </c>
      <c r="G313" s="152">
        <v>4400000000</v>
      </c>
      <c r="H313" s="152">
        <v>10135284000</v>
      </c>
      <c r="I313" s="150">
        <v>0.43705955075443431</v>
      </c>
      <c r="J313" s="152">
        <v>9.5475460122699385</v>
      </c>
    </row>
    <row r="314" spans="1:10" hidden="1">
      <c r="A314" s="64">
        <v>3017</v>
      </c>
      <c r="B314" s="150">
        <v>0.62</v>
      </c>
      <c r="C314" s="159">
        <v>0.77628032345013476</v>
      </c>
      <c r="D314" s="152">
        <v>353225806.45161289</v>
      </c>
      <c r="E314" s="26">
        <f>VLOOKUP(3017,季財報!$A:$H,8,0)</f>
        <v>3</v>
      </c>
      <c r="F314" s="159">
        <v>1.4158333333333335E-2</v>
      </c>
      <c r="G314" s="152">
        <v>11108951612.903225</v>
      </c>
      <c r="H314" s="152">
        <v>25610721000</v>
      </c>
      <c r="I314" s="150">
        <v>0.43854786662462203</v>
      </c>
      <c r="J314" s="152">
        <v>16.336175515232974</v>
      </c>
    </row>
    <row r="315" spans="1:10" hidden="1">
      <c r="A315" s="64">
        <v>4141</v>
      </c>
      <c r="B315" s="52">
        <v>-1.98</v>
      </c>
      <c r="C315" s="160">
        <v>0</v>
      </c>
      <c r="D315" s="157">
        <v>152020202.02020201</v>
      </c>
      <c r="E315" s="26">
        <f>VLOOKUP(4141,季財報!$A:$H,8,0)</f>
        <v>1</v>
      </c>
      <c r="F315" s="160">
        <v>0.14671666666666666</v>
      </c>
      <c r="G315" s="54">
        <v>4826641414.1414137</v>
      </c>
      <c r="H315" s="54">
        <v>10966903000</v>
      </c>
      <c r="I315" s="65">
        <v>0.4386666246909055</v>
      </c>
      <c r="J315" s="162">
        <v>0</v>
      </c>
    </row>
    <row r="316" spans="1:10" hidden="1">
      <c r="A316" s="64">
        <v>1466</v>
      </c>
      <c r="B316" s="150">
        <v>0.2</v>
      </c>
      <c r="C316" s="159">
        <v>0</v>
      </c>
      <c r="D316" s="152">
        <v>110000000</v>
      </c>
      <c r="E316" s="26">
        <f>VLOOKUP(1466,季財報!$A:$H,8,0)</f>
        <v>1</v>
      </c>
      <c r="F316" s="159">
        <v>-8.0416666666666674E-3</v>
      </c>
      <c r="G316" s="152">
        <v>1881000000.0000002</v>
      </c>
      <c r="H316" s="152">
        <v>4202228000</v>
      </c>
      <c r="I316" s="150">
        <v>0.43920326985783686</v>
      </c>
      <c r="J316" s="152">
        <v>0</v>
      </c>
    </row>
    <row r="317" spans="1:10" hidden="1">
      <c r="A317" s="64">
        <v>1201</v>
      </c>
      <c r="B317" s="150">
        <v>-1.1499999999999999</v>
      </c>
      <c r="C317" s="159">
        <v>0.67941507311586047</v>
      </c>
      <c r="D317" s="152">
        <v>505217391.30434787</v>
      </c>
      <c r="E317" s="26">
        <f>VLOOKUP(1201,季財報!$A:$H,8,0)</f>
        <v>0</v>
      </c>
      <c r="F317" s="159">
        <v>1.0441666666666669E-2</v>
      </c>
      <c r="G317" s="152">
        <v>9169695652.173914</v>
      </c>
      <c r="H317" s="152">
        <v>20943607000</v>
      </c>
      <c r="I317" s="150">
        <v>0.43972579439791432</v>
      </c>
      <c r="J317" s="152">
        <v>0</v>
      </c>
    </row>
    <row r="318" spans="1:10" hidden="1">
      <c r="A318" s="64">
        <v>4207</v>
      </c>
      <c r="B318" s="52">
        <v>-0.05</v>
      </c>
      <c r="C318" s="160">
        <v>1</v>
      </c>
      <c r="D318" s="157">
        <v>160000000</v>
      </c>
      <c r="E318" s="26">
        <f>VLOOKUP(4207,季財報!$A:$H,8,0)</f>
        <v>1</v>
      </c>
      <c r="F318" s="160">
        <v>5.416666666666666E-3</v>
      </c>
      <c r="G318" s="54">
        <v>1440000000</v>
      </c>
      <c r="H318" s="54">
        <v>3268732000</v>
      </c>
      <c r="I318" s="65">
        <v>0.44106404249897085</v>
      </c>
      <c r="J318" s="162">
        <v>0</v>
      </c>
    </row>
    <row r="319" spans="1:10" hidden="1">
      <c r="A319" s="64">
        <v>2208</v>
      </c>
      <c r="B319" s="150">
        <v>0.11</v>
      </c>
      <c r="C319" s="159">
        <v>0.56756756756756754</v>
      </c>
      <c r="D319" s="152">
        <v>745454545.4545455</v>
      </c>
      <c r="E319" s="26">
        <f>VLOOKUP(2208,季財報!$A:$H,8,0)</f>
        <v>4</v>
      </c>
      <c r="F319" s="159">
        <v>1.2058333333333332E-2</v>
      </c>
      <c r="G319" s="152">
        <v>9951818181.818182</v>
      </c>
      <c r="H319" s="152">
        <v>22206566000</v>
      </c>
      <c r="I319" s="150">
        <v>0.44224416269115208</v>
      </c>
      <c r="J319" s="152">
        <v>50</v>
      </c>
    </row>
    <row r="320" spans="1:10" hidden="1">
      <c r="A320" s="64">
        <v>3092</v>
      </c>
      <c r="B320" s="150">
        <v>0.69</v>
      </c>
      <c r="C320" s="159">
        <v>1</v>
      </c>
      <c r="D320" s="152">
        <v>63768115.942028992</v>
      </c>
      <c r="E320" s="26">
        <f>VLOOKUP(3092,季財報!$A:$H,8,0)</f>
        <v>2</v>
      </c>
      <c r="F320" s="159">
        <v>1.631666666666667E-2</v>
      </c>
      <c r="G320" s="152">
        <v>1007536231.8840581</v>
      </c>
      <c r="H320" s="152">
        <v>2299922000</v>
      </c>
      <c r="I320" s="150">
        <v>0.44293829284050973</v>
      </c>
      <c r="J320" s="152">
        <v>5.7246376811594208</v>
      </c>
    </row>
    <row r="321" spans="1:10" hidden="1">
      <c r="A321" s="64">
        <v>2498</v>
      </c>
      <c r="B321" s="150">
        <v>-5.41</v>
      </c>
      <c r="C321" s="159">
        <v>0.81440332507393498</v>
      </c>
      <c r="D321" s="152">
        <v>827541589.64879847</v>
      </c>
      <c r="E321" s="26">
        <f>VLOOKUP(2498,季財報!$A:$H,8,0)</f>
        <v>1</v>
      </c>
      <c r="F321" s="159">
        <v>1.0674999999999992E-2</v>
      </c>
      <c r="G321" s="152">
        <v>60824306839.186684</v>
      </c>
      <c r="H321" s="152">
        <v>130352490000</v>
      </c>
      <c r="I321" s="150">
        <v>0.44398105048439729</v>
      </c>
      <c r="J321" s="152">
        <v>0</v>
      </c>
    </row>
    <row r="322" spans="1:10" hidden="1">
      <c r="A322" s="64">
        <v>3043</v>
      </c>
      <c r="B322" s="150">
        <v>-0.01</v>
      </c>
      <c r="C322" s="159">
        <v>0</v>
      </c>
      <c r="D322" s="152">
        <v>200000000</v>
      </c>
      <c r="E322" s="26">
        <f>VLOOKUP(3043,季財報!$A:$H,8,0)</f>
        <v>2</v>
      </c>
      <c r="F322" s="159">
        <v>3.3066666666666661E-2</v>
      </c>
      <c r="G322" s="152">
        <v>624000000</v>
      </c>
      <c r="H322" s="152">
        <v>1401693000</v>
      </c>
      <c r="I322" s="150">
        <v>0.44494326260351708</v>
      </c>
      <c r="J322" s="152">
        <v>0</v>
      </c>
    </row>
    <row r="323" spans="1:10" hidden="1">
      <c r="A323" s="64">
        <v>2419</v>
      </c>
      <c r="B323" s="150">
        <v>0.32</v>
      </c>
      <c r="C323" s="159">
        <v>0.92</v>
      </c>
      <c r="D323" s="152">
        <v>234375000</v>
      </c>
      <c r="E323" s="26">
        <f>VLOOKUP(2419,季財報!$A:$H,8,0)</f>
        <v>4</v>
      </c>
      <c r="F323" s="159">
        <v>6.3941666666666661E-2</v>
      </c>
      <c r="G323" s="152">
        <v>3410156250</v>
      </c>
      <c r="H323" s="152">
        <v>7858248000</v>
      </c>
      <c r="I323" s="150">
        <v>0.4464353508755623</v>
      </c>
      <c r="J323" s="152">
        <v>12.355638586956523</v>
      </c>
    </row>
    <row r="324" spans="1:10" hidden="1">
      <c r="A324" s="64">
        <v>3548</v>
      </c>
      <c r="B324" s="150">
        <v>2.27</v>
      </c>
      <c r="C324" s="159">
        <v>0.43965517241379309</v>
      </c>
      <c r="D324" s="152">
        <v>50660792.951541848</v>
      </c>
      <c r="E324" s="26">
        <f>VLOOKUP(3548,季財報!$A:$H,8,0)</f>
        <v>4</v>
      </c>
      <c r="F324" s="159">
        <v>1.7375000000000005E-2</v>
      </c>
      <c r="G324" s="152">
        <v>1659140969.1629956</v>
      </c>
      <c r="H324" s="152">
        <v>3736588000</v>
      </c>
      <c r="I324" s="150">
        <v>0.44768010487694987</v>
      </c>
      <c r="J324" s="152">
        <v>8.203766087932971</v>
      </c>
    </row>
    <row r="325" spans="1:10" hidden="1">
      <c r="A325" s="64">
        <v>3707</v>
      </c>
      <c r="B325" s="52">
        <v>-0.92</v>
      </c>
      <c r="C325" s="160">
        <v>1</v>
      </c>
      <c r="D325" s="157">
        <v>161956521.73913044</v>
      </c>
      <c r="E325" s="26">
        <f>VLOOKUP(3707,季財報!$A:$H,8,0)</f>
        <v>1</v>
      </c>
      <c r="F325" s="160">
        <v>1.0783333333333331E-2</v>
      </c>
      <c r="G325" s="54">
        <v>1443032608.6956522</v>
      </c>
      <c r="H325" s="54">
        <v>3223880000</v>
      </c>
      <c r="I325" s="65">
        <v>0.45111826931297527</v>
      </c>
      <c r="J325" s="162">
        <v>0</v>
      </c>
    </row>
    <row r="326" spans="1:10" hidden="1">
      <c r="A326" s="64">
        <v>3019</v>
      </c>
      <c r="B326" s="150">
        <v>0.64</v>
      </c>
      <c r="C326" s="159">
        <v>0.7416666666666667</v>
      </c>
      <c r="D326" s="152">
        <v>282812500</v>
      </c>
      <c r="E326" s="26">
        <f>VLOOKUP(3019,季財報!$A:$H,8,0)</f>
        <v>4</v>
      </c>
      <c r="F326" s="159">
        <v>1.7291666666666667E-2</v>
      </c>
      <c r="G326" s="152">
        <v>8229843750</v>
      </c>
      <c r="H326" s="152">
        <v>18192062000</v>
      </c>
      <c r="I326" s="150">
        <v>0.4512195165411827</v>
      </c>
      <c r="J326" s="152">
        <v>15.326544943820226</v>
      </c>
    </row>
    <row r="327" spans="1:10" hidden="1">
      <c r="A327" s="64">
        <v>4933</v>
      </c>
      <c r="B327" s="52">
        <v>0.87</v>
      </c>
      <c r="C327" s="160">
        <v>0.40229885057471265</v>
      </c>
      <c r="D327" s="157">
        <v>77011494.25287357</v>
      </c>
      <c r="E327" s="26">
        <f>VLOOKUP(4933,季財報!$A:$H,8,0)</f>
        <v>3</v>
      </c>
      <c r="F327" s="160">
        <v>1.1566666666666664E-2</v>
      </c>
      <c r="G327" s="54">
        <v>1805919540.2298851</v>
      </c>
      <c r="H327" s="54">
        <v>4009712000</v>
      </c>
      <c r="I327" s="65">
        <v>0.45230715484368039</v>
      </c>
      <c r="J327" s="162">
        <v>16.75</v>
      </c>
    </row>
    <row r="328" spans="1:10" hidden="1">
      <c r="A328" s="64">
        <v>3090</v>
      </c>
      <c r="B328" s="150">
        <v>0.76</v>
      </c>
      <c r="C328" s="159">
        <v>0.73142857142857143</v>
      </c>
      <c r="D328" s="152">
        <v>168421052.63157895</v>
      </c>
      <c r="E328" s="26">
        <f>VLOOKUP(3090,季財報!$A:$H,8,0)</f>
        <v>2</v>
      </c>
      <c r="F328" s="159">
        <v>3.54166666666667E-3</v>
      </c>
      <c r="G328" s="152">
        <v>3781052631.5789475</v>
      </c>
      <c r="H328" s="152">
        <v>8309939000</v>
      </c>
      <c r="I328" s="150">
        <v>0.45251004120033378</v>
      </c>
      <c r="J328" s="152">
        <v>10.096499794407894</v>
      </c>
    </row>
    <row r="329" spans="1:10" hidden="1">
      <c r="A329" s="64">
        <v>4924</v>
      </c>
      <c r="B329" s="52">
        <v>-0.6</v>
      </c>
      <c r="C329" s="160">
        <v>0.73684210526315785</v>
      </c>
      <c r="D329" s="157">
        <v>36666666.666666672</v>
      </c>
      <c r="E329" s="26">
        <f>VLOOKUP(4924,季財報!$A:$H,8,0)</f>
        <v>0</v>
      </c>
      <c r="F329" s="160">
        <v>5.9749999999999968E-3</v>
      </c>
      <c r="G329" s="54">
        <v>272066666.66666669</v>
      </c>
      <c r="H329" s="54">
        <v>576371000</v>
      </c>
      <c r="I329" s="65">
        <v>0.45432735393559265</v>
      </c>
      <c r="J329" s="162">
        <v>0</v>
      </c>
    </row>
    <row r="330" spans="1:10" hidden="1">
      <c r="A330" s="64">
        <v>6122</v>
      </c>
      <c r="B330" s="52">
        <v>-0.21</v>
      </c>
      <c r="C330" s="160">
        <v>0.88888888888888884</v>
      </c>
      <c r="D330" s="157">
        <v>66666666.666666672</v>
      </c>
      <c r="E330" s="26">
        <f>VLOOKUP(6122,季財報!$A:$H,8,0)</f>
        <v>1</v>
      </c>
      <c r="F330" s="160">
        <v>0.1139</v>
      </c>
      <c r="G330" s="54">
        <v>446000000.00000006</v>
      </c>
      <c r="H330" s="54">
        <v>1015575000</v>
      </c>
      <c r="I330" s="65">
        <v>0.45443522667758945</v>
      </c>
      <c r="J330" s="162">
        <v>0</v>
      </c>
    </row>
    <row r="331" spans="1:10" hidden="1">
      <c r="A331" s="64">
        <v>1418</v>
      </c>
      <c r="B331" s="150">
        <v>-0.18</v>
      </c>
      <c r="C331" s="159">
        <v>1</v>
      </c>
      <c r="D331" s="152">
        <v>127777777.77777778</v>
      </c>
      <c r="E331" s="26">
        <f>VLOOKUP(1418,季財報!$A:$H,8,0)</f>
        <v>1</v>
      </c>
      <c r="F331" s="159">
        <v>0.14669166666666666</v>
      </c>
      <c r="G331" s="152">
        <v>649111111.11111116</v>
      </c>
      <c r="H331" s="152">
        <v>1412256000</v>
      </c>
      <c r="I331" s="150">
        <v>0.45564894721070626</v>
      </c>
      <c r="J331" s="152">
        <v>0</v>
      </c>
    </row>
    <row r="332" spans="1:10" hidden="1">
      <c r="A332" s="64">
        <v>8215</v>
      </c>
      <c r="B332" s="52">
        <v>0.36</v>
      </c>
      <c r="C332" s="160">
        <v>0.7432432432432432</v>
      </c>
      <c r="D332" s="157">
        <v>325000000</v>
      </c>
      <c r="E332" s="26">
        <f>VLOOKUP(8215,季財報!$A:$H,8,0)</f>
        <v>2</v>
      </c>
      <c r="F332" s="160">
        <v>-1.3599999999999999E-2</v>
      </c>
      <c r="G332" s="54">
        <v>6873750000</v>
      </c>
      <c r="H332" s="54">
        <v>14825891000</v>
      </c>
      <c r="I332" s="65">
        <v>0.45712890659420791</v>
      </c>
      <c r="J332" s="162">
        <v>19.761363636363637</v>
      </c>
    </row>
    <row r="333" spans="1:10" hidden="1">
      <c r="A333" s="64">
        <v>8418</v>
      </c>
      <c r="B333" s="52">
        <v>-1.36</v>
      </c>
      <c r="C333" s="160">
        <v>0</v>
      </c>
      <c r="D333" s="157">
        <v>68382352.941176459</v>
      </c>
      <c r="E333" s="26">
        <f>VLOOKUP(8418,季財報!$A:$H,8,0)</f>
        <v>1</v>
      </c>
      <c r="F333" s="160">
        <v>3.1366666666666661E-2</v>
      </c>
      <c r="G333" s="54">
        <v>1066764705.8823527</v>
      </c>
      <c r="H333" s="54">
        <v>2297039000</v>
      </c>
      <c r="I333" s="65">
        <v>0.45777370172248105</v>
      </c>
      <c r="J333" s="162">
        <v>0</v>
      </c>
    </row>
    <row r="334" spans="1:10" hidden="1">
      <c r="A334" s="64">
        <v>3537</v>
      </c>
      <c r="B334" s="150">
        <v>0.83</v>
      </c>
      <c r="C334" s="159">
        <v>0.54</v>
      </c>
      <c r="D334" s="152">
        <v>48192771.084337354</v>
      </c>
      <c r="E334" s="26">
        <f>VLOOKUP(3537,季財報!$A:$H,8,0)</f>
        <v>2</v>
      </c>
      <c r="F334" s="159">
        <v>2.4574999999999996E-2</v>
      </c>
      <c r="G334" s="152">
        <v>903614457.83132541</v>
      </c>
      <c r="H334" s="152">
        <v>2006086000</v>
      </c>
      <c r="I334" s="150">
        <v>0.45836645285603256</v>
      </c>
      <c r="J334" s="152">
        <v>10.458500669344042</v>
      </c>
    </row>
    <row r="335" spans="1:10" hidden="1">
      <c r="A335" s="64">
        <v>1219</v>
      </c>
      <c r="B335" s="150">
        <v>0.08</v>
      </c>
      <c r="C335" s="159">
        <v>0.72727272727272729</v>
      </c>
      <c r="D335" s="152">
        <v>312500000</v>
      </c>
      <c r="E335" s="26">
        <f>VLOOKUP(1219,季財報!$A:$H,8,0)</f>
        <v>2</v>
      </c>
      <c r="F335" s="159">
        <v>8.4749999999999964E-3</v>
      </c>
      <c r="G335" s="152">
        <v>4546875000</v>
      </c>
      <c r="H335" s="152">
        <v>9890178000</v>
      </c>
      <c r="I335" s="150">
        <v>0.46026857870480081</v>
      </c>
      <c r="J335" s="152">
        <v>50</v>
      </c>
    </row>
    <row r="336" spans="1:10" hidden="1">
      <c r="A336" s="64">
        <v>3308</v>
      </c>
      <c r="B336" s="150">
        <v>0.27</v>
      </c>
      <c r="C336" s="159">
        <v>0.24324324324324326</v>
      </c>
      <c r="D336" s="152">
        <v>96296296.296296284</v>
      </c>
      <c r="E336" s="26">
        <f>VLOOKUP(3308,季財報!$A:$H,8,0)</f>
        <v>2</v>
      </c>
      <c r="F336" s="159">
        <v>5.0008333333333342E-2</v>
      </c>
      <c r="G336" s="152">
        <v>737629629.62962949</v>
      </c>
      <c r="H336" s="152">
        <v>1588436000</v>
      </c>
      <c r="I336" s="150">
        <v>0.46312864842289525</v>
      </c>
      <c r="J336" s="152">
        <v>29.158436213991767</v>
      </c>
    </row>
    <row r="337" spans="1:10" hidden="1">
      <c r="A337" s="64">
        <v>2613</v>
      </c>
      <c r="B337" s="155">
        <v>-0.11</v>
      </c>
      <c r="C337" s="159">
        <v>1</v>
      </c>
      <c r="D337" s="156">
        <v>90909090.909090906</v>
      </c>
      <c r="E337" s="26">
        <f>VLOOKUP(2613,季財報!$A:$H,8,0)</f>
        <v>0</v>
      </c>
      <c r="F337" s="159">
        <v>3.1666666666666941E-4</v>
      </c>
      <c r="G337" s="156">
        <v>1186363636.3636365</v>
      </c>
      <c r="H337" s="156">
        <v>2545754000</v>
      </c>
      <c r="I337" s="155">
        <v>0.46460404307338748</v>
      </c>
      <c r="J337" s="156">
        <v>0</v>
      </c>
    </row>
    <row r="338" spans="1:10" hidden="1">
      <c r="A338" s="64">
        <v>1522</v>
      </c>
      <c r="B338" s="150">
        <v>0.91</v>
      </c>
      <c r="C338" s="159">
        <v>0.45591939546599497</v>
      </c>
      <c r="D338" s="152">
        <v>312087912.08791208</v>
      </c>
      <c r="E338" s="26">
        <f>VLOOKUP(1522,季財報!$A:$H,8,0)</f>
        <v>3</v>
      </c>
      <c r="F338" s="159">
        <v>-6.483333333333334E-3</v>
      </c>
      <c r="G338" s="152">
        <v>7380879120.8791199</v>
      </c>
      <c r="H338" s="152">
        <v>15551157000</v>
      </c>
      <c r="I338" s="150">
        <v>0.46552234473709064</v>
      </c>
      <c r="J338" s="152">
        <v>14.250880335134477</v>
      </c>
    </row>
    <row r="339" spans="1:10">
      <c r="A339" s="64">
        <v>2377</v>
      </c>
      <c r="B339" s="150">
        <v>1.35</v>
      </c>
      <c r="C339" s="159">
        <v>0.909358446144791</v>
      </c>
      <c r="D339" s="152">
        <v>847407407.4074074</v>
      </c>
      <c r="E339" s="26">
        <f>VLOOKUP(2377,季財報!$A:$H,8,0)</f>
        <v>5</v>
      </c>
      <c r="F339" s="159">
        <v>2.2916666666666669E-2</v>
      </c>
      <c r="G339" s="152">
        <v>38980740740.740738</v>
      </c>
      <c r="H339" s="152">
        <v>84426510000</v>
      </c>
      <c r="I339" s="150">
        <v>0.46779945116263222</v>
      </c>
      <c r="J339" s="152">
        <v>9.3676135682608184</v>
      </c>
    </row>
    <row r="340" spans="1:10" hidden="1">
      <c r="A340" s="64">
        <v>2374</v>
      </c>
      <c r="B340" s="150">
        <v>0.72</v>
      </c>
      <c r="C340" s="159">
        <v>0.35625000000000001</v>
      </c>
      <c r="D340" s="152">
        <v>402777777.77777779</v>
      </c>
      <c r="E340" s="26">
        <f>VLOOKUP(2374,季財報!$A:$H,8,0)</f>
        <v>2</v>
      </c>
      <c r="F340" s="159">
        <v>-1.18E-2</v>
      </c>
      <c r="G340" s="152">
        <v>9545833333.333334</v>
      </c>
      <c r="H340" s="152">
        <v>19589089000</v>
      </c>
      <c r="I340" s="150">
        <v>0.46802507440965391</v>
      </c>
      <c r="J340" s="152">
        <v>23.099415204678362</v>
      </c>
    </row>
    <row r="341" spans="1:10" hidden="1">
      <c r="A341" s="64">
        <v>5015</v>
      </c>
      <c r="B341" s="52">
        <v>1.04</v>
      </c>
      <c r="C341" s="160">
        <v>0.81481481481481477</v>
      </c>
      <c r="D341" s="157">
        <v>60576923.076923072</v>
      </c>
      <c r="E341" s="26">
        <f>VLOOKUP(5015,季財報!$A:$H,8,0)</f>
        <v>3</v>
      </c>
      <c r="F341" s="160">
        <v>1.4558333333333338E-2</v>
      </c>
      <c r="G341" s="54">
        <v>993461538.46153831</v>
      </c>
      <c r="H341" s="54">
        <v>2093781000</v>
      </c>
      <c r="I341" s="65">
        <v>0.46881074529474087</v>
      </c>
      <c r="J341" s="162">
        <v>4.8382867132867133</v>
      </c>
    </row>
    <row r="342" spans="1:10" hidden="1">
      <c r="A342" s="64">
        <v>2376</v>
      </c>
      <c r="B342" s="150">
        <v>1.3</v>
      </c>
      <c r="C342" s="159">
        <v>0.44037478705281091</v>
      </c>
      <c r="D342" s="152">
        <v>629230769.23076916</v>
      </c>
      <c r="E342" s="26">
        <f>VLOOKUP(2376,季財報!$A:$H,8,0)</f>
        <v>4</v>
      </c>
      <c r="F342" s="159">
        <v>1.3466666666666663E-2</v>
      </c>
      <c r="G342" s="152">
        <v>24068076923.07692</v>
      </c>
      <c r="H342" s="152">
        <v>50666652000</v>
      </c>
      <c r="I342" s="150">
        <v>0.46906073952870109</v>
      </c>
      <c r="J342" s="152">
        <v>16.703429549174231</v>
      </c>
    </row>
    <row r="343" spans="1:10" hidden="1">
      <c r="A343" s="64">
        <v>2405</v>
      </c>
      <c r="B343" s="155">
        <v>-0.1</v>
      </c>
      <c r="C343" s="159">
        <v>1</v>
      </c>
      <c r="D343" s="156">
        <v>340000000</v>
      </c>
      <c r="E343" s="26">
        <f>VLOOKUP(2405,季財報!$A:$H,8,0)</f>
        <v>4</v>
      </c>
      <c r="F343" s="159">
        <v>3.4916666666666672E-2</v>
      </c>
      <c r="G343" s="156">
        <v>2393600000</v>
      </c>
      <c r="H343" s="156">
        <v>5070193000</v>
      </c>
      <c r="I343" s="155">
        <v>0.47004522142947475</v>
      </c>
      <c r="J343" s="156">
        <v>0</v>
      </c>
    </row>
    <row r="344" spans="1:10" hidden="1">
      <c r="A344" s="64">
        <v>2024</v>
      </c>
      <c r="B344" s="150">
        <v>0.08</v>
      </c>
      <c r="C344" s="159">
        <v>1</v>
      </c>
      <c r="D344" s="152">
        <v>100000000</v>
      </c>
      <c r="E344" s="26">
        <f>VLOOKUP(2024,季財報!$A:$H,8,0)</f>
        <v>2</v>
      </c>
      <c r="F344" s="159">
        <v>1.4350000000000003E-2</v>
      </c>
      <c r="G344" s="152">
        <v>670000000</v>
      </c>
      <c r="H344" s="152">
        <v>1415235000</v>
      </c>
      <c r="I344" s="150">
        <v>0.47106898207617676</v>
      </c>
      <c r="J344" s="152">
        <v>20.9375</v>
      </c>
    </row>
    <row r="345" spans="1:10" hidden="1">
      <c r="A345" s="64">
        <v>1218</v>
      </c>
      <c r="B345" s="150">
        <v>0.3</v>
      </c>
      <c r="C345" s="159">
        <v>0</v>
      </c>
      <c r="D345" s="152">
        <v>336666666.66666669</v>
      </c>
      <c r="E345" s="26">
        <f>VLOOKUP(1218,季財報!$A:$H,8,0)</f>
        <v>3</v>
      </c>
      <c r="F345" s="159">
        <v>6.3333333333333297E-3</v>
      </c>
      <c r="G345" s="152">
        <v>3871666666.666667</v>
      </c>
      <c r="H345" s="152">
        <v>8192283000</v>
      </c>
      <c r="I345" s="150">
        <v>0.47204100900462426</v>
      </c>
      <c r="J345" s="152">
        <v>0</v>
      </c>
    </row>
    <row r="346" spans="1:10" hidden="1">
      <c r="A346" s="64">
        <v>5902</v>
      </c>
      <c r="B346" s="52">
        <v>0.14000000000000001</v>
      </c>
      <c r="C346" s="160">
        <v>0.6875</v>
      </c>
      <c r="D346" s="157">
        <v>92857142.857142851</v>
      </c>
      <c r="E346" s="26">
        <f>VLOOKUP(5902,季財報!$A:$H,8,0)</f>
        <v>3</v>
      </c>
      <c r="F346" s="160">
        <v>9.7166666666666669E-3</v>
      </c>
      <c r="G346" s="54">
        <v>922071428.57142854</v>
      </c>
      <c r="H346" s="54">
        <v>1959548000</v>
      </c>
      <c r="I346" s="65">
        <v>0.47363341588132579</v>
      </c>
      <c r="J346" s="162">
        <v>25.79220779220779</v>
      </c>
    </row>
    <row r="347" spans="1:10" hidden="1">
      <c r="A347" s="64">
        <v>8088</v>
      </c>
      <c r="B347" s="52">
        <v>0.77</v>
      </c>
      <c r="C347" s="160">
        <v>0.50980392156862742</v>
      </c>
      <c r="D347" s="157">
        <v>58441558.441558443</v>
      </c>
      <c r="E347" s="26">
        <f>VLOOKUP(8088,季財報!$A:$H,8,0)</f>
        <v>2</v>
      </c>
      <c r="F347" s="160">
        <v>-1.2999999999999999E-2</v>
      </c>
      <c r="G347" s="54">
        <v>993506493.50649357</v>
      </c>
      <c r="H347" s="54">
        <v>2028570000</v>
      </c>
      <c r="I347" s="65">
        <v>0.47520916409005981</v>
      </c>
      <c r="J347" s="162">
        <v>10.826673326673328</v>
      </c>
    </row>
    <row r="348" spans="1:10" hidden="1">
      <c r="A348" s="64">
        <v>9904</v>
      </c>
      <c r="B348" s="52">
        <v>1.21</v>
      </c>
      <c r="C348" s="160">
        <v>0.11553848615778524</v>
      </c>
      <c r="D348" s="157">
        <v>2947107438.0165291</v>
      </c>
      <c r="E348" s="26">
        <f>VLOOKUP(9904,季財報!$A:$H,8,0)</f>
        <v>3</v>
      </c>
      <c r="F348" s="160">
        <v>9.9333333333333357E-3</v>
      </c>
      <c r="G348" s="54">
        <v>126578264462.80994</v>
      </c>
      <c r="H348" s="54">
        <v>268067354000</v>
      </c>
      <c r="I348" s="65">
        <v>0.47532402476365454</v>
      </c>
      <c r="J348" s="162">
        <v>50</v>
      </c>
    </row>
    <row r="349" spans="1:10" hidden="1">
      <c r="A349" s="64">
        <v>2444</v>
      </c>
      <c r="B349" s="150">
        <v>0.45</v>
      </c>
      <c r="C349" s="159">
        <v>1</v>
      </c>
      <c r="D349" s="152">
        <v>84444444.444444448</v>
      </c>
      <c r="E349" s="26">
        <f>VLOOKUP(2444,季財報!$A:$H,8,0)</f>
        <v>4</v>
      </c>
      <c r="F349" s="159">
        <v>4.9583333333333328E-3</v>
      </c>
      <c r="G349" s="152">
        <v>785333333.33333337</v>
      </c>
      <c r="H349" s="152">
        <v>1642542000</v>
      </c>
      <c r="I349" s="150">
        <v>0.4757664059644468</v>
      </c>
      <c r="J349" s="152">
        <v>5.166666666666667</v>
      </c>
    </row>
    <row r="350" spans="1:10" hidden="1">
      <c r="A350" s="64">
        <v>5434</v>
      </c>
      <c r="B350" s="52">
        <v>1.61</v>
      </c>
      <c r="C350" s="160">
        <v>0.8012048192771084</v>
      </c>
      <c r="D350" s="157">
        <v>162732919.25465837</v>
      </c>
      <c r="E350" s="26">
        <f>VLOOKUP(5434,季財報!$A:$H,8,0)</f>
        <v>3</v>
      </c>
      <c r="F350" s="160">
        <v>1.9258333333333332E-2</v>
      </c>
      <c r="G350" s="54">
        <v>8950310559.0062103</v>
      </c>
      <c r="H350" s="54">
        <v>19040957000</v>
      </c>
      <c r="I350" s="65">
        <v>0.47642418523145907</v>
      </c>
      <c r="J350" s="162">
        <v>10.659412506421333</v>
      </c>
    </row>
    <row r="351" spans="1:10" hidden="1">
      <c r="A351" s="64">
        <v>8182</v>
      </c>
      <c r="B351" s="52">
        <v>0.44</v>
      </c>
      <c r="C351" s="160">
        <v>0.68518518518518523</v>
      </c>
      <c r="D351" s="157">
        <v>106818181.81818181</v>
      </c>
      <c r="E351" s="26">
        <f>VLOOKUP(8182,季財報!$A:$H,8,0)</f>
        <v>2</v>
      </c>
      <c r="F351" s="160">
        <v>2.3841666666666674E-2</v>
      </c>
      <c r="G351" s="54">
        <v>1329886363.6363635</v>
      </c>
      <c r="H351" s="54">
        <v>2815231000</v>
      </c>
      <c r="I351" s="65">
        <v>0.47760432007982906</v>
      </c>
      <c r="J351" s="162">
        <v>10.324017199017197</v>
      </c>
    </row>
    <row r="352" spans="1:10" hidden="1">
      <c r="A352" s="64">
        <v>2064</v>
      </c>
      <c r="B352" s="150">
        <v>0.75</v>
      </c>
      <c r="C352" s="159">
        <v>0.3783783783783784</v>
      </c>
      <c r="D352" s="152">
        <v>69333333.333333328</v>
      </c>
      <c r="E352" s="26">
        <f>VLOOKUP(2064,季財報!$A:$H,8,0)</f>
        <v>2</v>
      </c>
      <c r="F352" s="159">
        <v>6.2250000000000014E-3</v>
      </c>
      <c r="G352" s="152">
        <v>1157866666.6666665</v>
      </c>
      <c r="H352" s="152">
        <v>2366148000</v>
      </c>
      <c r="I352" s="150">
        <v>0.48037263729086199</v>
      </c>
      <c r="J352" s="152">
        <v>14.711904761904762</v>
      </c>
    </row>
    <row r="353" spans="1:10" hidden="1">
      <c r="A353" s="64">
        <v>1305</v>
      </c>
      <c r="B353" s="150">
        <v>0.18</v>
      </c>
      <c r="C353" s="159">
        <v>0.82440476190476186</v>
      </c>
      <c r="D353" s="152">
        <v>461111111.1111111</v>
      </c>
      <c r="E353" s="26">
        <f>VLOOKUP(1305,季財報!$A:$H,8,0)</f>
        <v>2</v>
      </c>
      <c r="F353" s="159">
        <v>2.3016666666666661E-2</v>
      </c>
      <c r="G353" s="152">
        <v>6593888888.8888893</v>
      </c>
      <c r="H353" s="152">
        <v>13809531000</v>
      </c>
      <c r="I353" s="150">
        <v>0.48217913606937596</v>
      </c>
      <c r="J353" s="152">
        <v>24.091456077015646</v>
      </c>
    </row>
    <row r="354" spans="1:10" hidden="1">
      <c r="A354" s="64">
        <v>3431</v>
      </c>
      <c r="B354" s="150">
        <v>-1.47</v>
      </c>
      <c r="C354" s="159">
        <v>0.50724637681159424</v>
      </c>
      <c r="D354" s="152">
        <v>35374149.659863949</v>
      </c>
      <c r="E354" s="26">
        <f>VLOOKUP(3431,季財報!$A:$H,8,0)</f>
        <v>0</v>
      </c>
      <c r="F354" s="159">
        <v>-1.615833333333333E-2</v>
      </c>
      <c r="G354" s="152">
        <v>265306122.44897962</v>
      </c>
      <c r="H354" s="152">
        <v>518391000</v>
      </c>
      <c r="I354" s="150">
        <v>0.48223798785977001</v>
      </c>
      <c r="J354" s="152">
        <v>0</v>
      </c>
    </row>
    <row r="355" spans="1:10" hidden="1">
      <c r="A355" s="64">
        <v>6141</v>
      </c>
      <c r="B355" s="52">
        <v>-0.84</v>
      </c>
      <c r="C355" s="160">
        <v>0.93478260869565222</v>
      </c>
      <c r="D355" s="157">
        <v>130952380.95238096</v>
      </c>
      <c r="E355" s="26">
        <f>VLOOKUP(6141,季財報!$A:$H,8,0)</f>
        <v>1</v>
      </c>
      <c r="F355" s="160">
        <v>9.0583333333333332E-3</v>
      </c>
      <c r="G355" s="54">
        <v>1242738095.2380953</v>
      </c>
      <c r="H355" s="54">
        <v>2539128000</v>
      </c>
      <c r="I355" s="65">
        <v>0.48250149779299129</v>
      </c>
      <c r="J355" s="162">
        <v>0</v>
      </c>
    </row>
    <row r="356" spans="1:10" hidden="1">
      <c r="A356" s="64">
        <v>2031</v>
      </c>
      <c r="B356" s="150">
        <v>-0.71</v>
      </c>
      <c r="C356" s="159">
        <v>0.80769230769230771</v>
      </c>
      <c r="D356" s="152">
        <v>278873239.43661976</v>
      </c>
      <c r="E356" s="26">
        <f>VLOOKUP(2031,季財報!$A:$H,8,0)</f>
        <v>0</v>
      </c>
      <c r="F356" s="159">
        <v>2.1574999999999993E-2</v>
      </c>
      <c r="G356" s="152">
        <v>3416197183.0985918</v>
      </c>
      <c r="H356" s="152">
        <v>6713714000</v>
      </c>
      <c r="I356" s="150">
        <v>0.48319675370192666</v>
      </c>
      <c r="J356" s="152">
        <v>0</v>
      </c>
    </row>
    <row r="357" spans="1:10" hidden="1">
      <c r="A357" s="64">
        <v>1806</v>
      </c>
      <c r="B357" s="150">
        <v>0.13</v>
      </c>
      <c r="C357" s="159">
        <v>1</v>
      </c>
      <c r="D357" s="152">
        <v>430769230.76923078</v>
      </c>
      <c r="E357" s="26">
        <f>VLOOKUP(1806,季財報!$A:$H,8,0)</f>
        <v>3</v>
      </c>
      <c r="F357" s="159">
        <v>4.7724999999999997E-2</v>
      </c>
      <c r="G357" s="152">
        <v>3006769230.7692308</v>
      </c>
      <c r="H357" s="152">
        <v>6060467000</v>
      </c>
      <c r="I357" s="150">
        <v>0.48334629762708597</v>
      </c>
      <c r="J357" s="152">
        <v>13.423076923076923</v>
      </c>
    </row>
    <row r="358" spans="1:10" hidden="1">
      <c r="A358" s="64">
        <v>6603</v>
      </c>
      <c r="B358" s="52">
        <v>0.06</v>
      </c>
      <c r="C358" s="160">
        <v>0</v>
      </c>
      <c r="D358" s="157">
        <v>133333333.33333334</v>
      </c>
      <c r="E358" s="26">
        <f>VLOOKUP(6603,季財報!$A:$H,8,0)</f>
        <v>2</v>
      </c>
      <c r="F358" s="160">
        <v>3.5774999999999994E-2</v>
      </c>
      <c r="G358" s="54">
        <v>1373333333.3333335</v>
      </c>
      <c r="H358" s="54">
        <v>2846058000</v>
      </c>
      <c r="I358" s="65">
        <v>0.48468746422930054</v>
      </c>
      <c r="J358" s="162">
        <v>0</v>
      </c>
    </row>
    <row r="359" spans="1:10" hidden="1">
      <c r="A359" s="64">
        <v>2618</v>
      </c>
      <c r="B359" s="150">
        <v>0.6</v>
      </c>
      <c r="C359" s="159">
        <v>1</v>
      </c>
      <c r="D359" s="152">
        <v>3870000000</v>
      </c>
      <c r="E359" s="26">
        <f>VLOOKUP(2618,季財報!$A:$H,8,0)</f>
        <v>5</v>
      </c>
      <c r="F359" s="159">
        <v>4.3250000000000033E-3</v>
      </c>
      <c r="G359" s="152">
        <v>66370499999.999992</v>
      </c>
      <c r="H359" s="152">
        <v>137053962000</v>
      </c>
      <c r="I359" s="150">
        <v>0.48479058957337456</v>
      </c>
      <c r="J359" s="152">
        <v>7.145833333333333</v>
      </c>
    </row>
    <row r="360" spans="1:10" hidden="1">
      <c r="A360" s="64">
        <v>1225</v>
      </c>
      <c r="B360" s="150">
        <v>0.24</v>
      </c>
      <c r="C360" s="159">
        <v>1</v>
      </c>
      <c r="D360" s="152">
        <v>216666666.66666669</v>
      </c>
      <c r="E360" s="26">
        <f>VLOOKUP(1225,季財報!$A:$H,8,0)</f>
        <v>1</v>
      </c>
      <c r="F360" s="159">
        <v>7.4999999999997527E-5</v>
      </c>
      <c r="G360" s="152">
        <v>5427500000.000001</v>
      </c>
      <c r="H360" s="152">
        <v>11075288000</v>
      </c>
      <c r="I360" s="150">
        <v>0.48525551888187124</v>
      </c>
      <c r="J360" s="152">
        <v>26.09375</v>
      </c>
    </row>
    <row r="361" spans="1:10" hidden="1">
      <c r="A361" s="64">
        <v>5536</v>
      </c>
      <c r="B361" s="52">
        <v>2.02</v>
      </c>
      <c r="C361" s="160">
        <v>0.87449392712550611</v>
      </c>
      <c r="D361" s="157">
        <v>46039603.960396037</v>
      </c>
      <c r="E361" s="26">
        <f>VLOOKUP(5536,季財報!$A:$H,8,0)</f>
        <v>2</v>
      </c>
      <c r="F361" s="160">
        <v>6.5300000000000011E-2</v>
      </c>
      <c r="G361" s="54">
        <v>4010049504.9504943</v>
      </c>
      <c r="H361" s="54">
        <v>8507989000</v>
      </c>
      <c r="I361" s="65">
        <v>0.4860461043522642</v>
      </c>
      <c r="J361" s="162">
        <v>12.326789970663732</v>
      </c>
    </row>
    <row r="362" spans="1:10" hidden="1">
      <c r="A362" s="64">
        <v>1810</v>
      </c>
      <c r="B362" s="150">
        <v>0.12</v>
      </c>
      <c r="C362" s="159">
        <v>0.4</v>
      </c>
      <c r="D362" s="152">
        <v>358333333.33333337</v>
      </c>
      <c r="E362" s="26">
        <f>VLOOKUP(1810,季財報!$A:$H,8,0)</f>
        <v>2</v>
      </c>
      <c r="F362" s="159">
        <v>3.2016666666666665E-2</v>
      </c>
      <c r="G362" s="152">
        <v>2891750000.0000005</v>
      </c>
      <c r="H362" s="152">
        <v>5935722000</v>
      </c>
      <c r="I362" s="150">
        <v>0.48650349220929878</v>
      </c>
      <c r="J362" s="152">
        <v>42.03125</v>
      </c>
    </row>
    <row r="363" spans="1:10" hidden="1">
      <c r="A363" s="64">
        <v>1524</v>
      </c>
      <c r="B363" s="150">
        <v>0.2</v>
      </c>
      <c r="C363" s="159">
        <v>0</v>
      </c>
      <c r="D363" s="152">
        <v>180000000</v>
      </c>
      <c r="E363" s="26">
        <f>VLOOKUP(1524,季財報!$A:$H,8,0)</f>
        <v>5</v>
      </c>
      <c r="F363" s="159">
        <v>7.6833333333333311E-3</v>
      </c>
      <c r="G363" s="152">
        <v>1207800000</v>
      </c>
      <c r="H363" s="152">
        <v>2484385000</v>
      </c>
      <c r="I363" s="150">
        <v>0.48653822293908083</v>
      </c>
      <c r="J363" s="152">
        <v>0</v>
      </c>
    </row>
    <row r="364" spans="1:10" hidden="1">
      <c r="A364" s="64">
        <v>6109</v>
      </c>
      <c r="B364" s="52">
        <v>0.56000000000000005</v>
      </c>
      <c r="C364" s="160">
        <v>0.45569620253164556</v>
      </c>
      <c r="D364" s="157">
        <v>73214285.714285702</v>
      </c>
      <c r="E364" s="26">
        <f>VLOOKUP(6109,季財報!$A:$H,8,0)</f>
        <v>2</v>
      </c>
      <c r="F364" s="160">
        <v>6.6666666666666654E-3</v>
      </c>
      <c r="G364" s="54">
        <v>981071428.57142842</v>
      </c>
      <c r="H364" s="54">
        <v>1981725000</v>
      </c>
      <c r="I364" s="65">
        <v>0.48694280678584484</v>
      </c>
      <c r="J364" s="162">
        <v>13.127480158730158</v>
      </c>
    </row>
    <row r="365" spans="1:10" hidden="1">
      <c r="A365" s="64">
        <v>3290</v>
      </c>
      <c r="B365" s="150">
        <v>0.22</v>
      </c>
      <c r="C365" s="159">
        <v>0</v>
      </c>
      <c r="D365" s="152">
        <v>100000000</v>
      </c>
      <c r="E365" s="26">
        <f>VLOOKUP(3290,季財報!$A:$H,8,0)</f>
        <v>1</v>
      </c>
      <c r="F365" s="159">
        <v>-4.9999999999999817E-4</v>
      </c>
      <c r="G365" s="152">
        <v>1435000000</v>
      </c>
      <c r="H365" s="152">
        <v>2873449000</v>
      </c>
      <c r="I365" s="150">
        <v>0.49005144344908791</v>
      </c>
      <c r="J365" s="152">
        <v>0</v>
      </c>
    </row>
    <row r="366" spans="1:10" hidden="1">
      <c r="A366" s="64">
        <v>2461</v>
      </c>
      <c r="B366" s="150">
        <v>0.46</v>
      </c>
      <c r="C366" s="159">
        <v>1</v>
      </c>
      <c r="D366" s="152">
        <v>143478260.86956522</v>
      </c>
      <c r="E366" s="26">
        <f>VLOOKUP(2461,季財報!$A:$H,8,0)</f>
        <v>3</v>
      </c>
      <c r="F366" s="159">
        <v>1.2408333333333335E-2</v>
      </c>
      <c r="G366" s="152">
        <v>1958478260.8695652</v>
      </c>
      <c r="H366" s="152">
        <v>4027416000</v>
      </c>
      <c r="I366" s="150">
        <v>0.49013396080926064</v>
      </c>
      <c r="J366" s="152">
        <v>7.4184782608695654</v>
      </c>
    </row>
    <row r="367" spans="1:10" hidden="1">
      <c r="A367" s="64">
        <v>2468</v>
      </c>
      <c r="B367" s="150">
        <v>0.19</v>
      </c>
      <c r="C367" s="159">
        <v>0.62962962962962965</v>
      </c>
      <c r="D367" s="152">
        <v>68421052.631578952</v>
      </c>
      <c r="E367" s="26">
        <f>VLOOKUP(2468,季財報!$A:$H,8,0)</f>
        <v>2</v>
      </c>
      <c r="F367" s="159">
        <v>7.7783333333333329E-2</v>
      </c>
      <c r="G367" s="152">
        <v>697894736.84210527</v>
      </c>
      <c r="H367" s="152">
        <v>1438939000</v>
      </c>
      <c r="I367" s="150">
        <v>0.49025470876522548</v>
      </c>
      <c r="J367" s="152">
        <v>21.315789473684205</v>
      </c>
    </row>
    <row r="368" spans="1:10" hidden="1">
      <c r="A368" s="64">
        <v>6153</v>
      </c>
      <c r="B368" s="52">
        <v>1.43</v>
      </c>
      <c r="C368" s="160">
        <v>0.44634146341463415</v>
      </c>
      <c r="D368" s="157">
        <v>323076923.07692307</v>
      </c>
      <c r="E368" s="26">
        <f>VLOOKUP(6153,季財報!$A:$H,8,0)</f>
        <v>3</v>
      </c>
      <c r="F368" s="160">
        <v>1.0733333333333329E-2</v>
      </c>
      <c r="G368" s="54">
        <v>8076923076.9230766</v>
      </c>
      <c r="H368" s="54">
        <v>16037611000</v>
      </c>
      <c r="I368" s="65">
        <v>0.49069458014096784</v>
      </c>
      <c r="J368" s="162">
        <v>9.7921204478581529</v>
      </c>
    </row>
    <row r="369" spans="1:10" hidden="1">
      <c r="A369" s="64">
        <v>6412</v>
      </c>
      <c r="B369" s="52">
        <v>0.81</v>
      </c>
      <c r="C369" s="160">
        <v>0.76297577854671284</v>
      </c>
      <c r="D369" s="157">
        <v>360493827.16049379</v>
      </c>
      <c r="E369" s="26">
        <f>VLOOKUP(6412,季財報!$A:$H,8,0)</f>
        <v>1</v>
      </c>
      <c r="F369" s="160">
        <v>6.4666666666666666E-3</v>
      </c>
      <c r="G369" s="54">
        <v>13013827160.493826</v>
      </c>
      <c r="H369" s="54">
        <v>26484349000</v>
      </c>
      <c r="I369" s="65">
        <v>0.49164649476946487</v>
      </c>
      <c r="J369" s="162">
        <v>14.60331457685955</v>
      </c>
    </row>
    <row r="370" spans="1:10" hidden="1">
      <c r="A370" s="64">
        <v>1538</v>
      </c>
      <c r="B370" s="150">
        <v>1.77</v>
      </c>
      <c r="C370" s="159">
        <v>0</v>
      </c>
      <c r="D370" s="152">
        <v>83050847.457627118</v>
      </c>
      <c r="E370" s="26">
        <f>VLOOKUP(1538,季財報!$A:$H,8,0)</f>
        <v>2</v>
      </c>
      <c r="F370" s="159">
        <v>8.2249999999999945E-3</v>
      </c>
      <c r="G370" s="152">
        <v>387847457.62711865</v>
      </c>
      <c r="H370" s="152">
        <v>764571000</v>
      </c>
      <c r="I370" s="150">
        <v>0.49483846053274572</v>
      </c>
      <c r="J370" s="152">
        <v>0</v>
      </c>
    </row>
    <row r="371" spans="1:10" hidden="1">
      <c r="A371" s="64">
        <v>8924</v>
      </c>
      <c r="B371" s="52">
        <v>-0.09</v>
      </c>
      <c r="C371" s="160">
        <v>1</v>
      </c>
      <c r="D371" s="157">
        <v>122222222.22222222</v>
      </c>
      <c r="E371" s="26">
        <f>VLOOKUP(8924,季財報!$A:$H,8,0)</f>
        <v>1</v>
      </c>
      <c r="F371" s="160">
        <v>3.4633333333333356E-2</v>
      </c>
      <c r="G371" s="54">
        <v>2218333333.333333</v>
      </c>
      <c r="H371" s="54">
        <v>4488733000</v>
      </c>
      <c r="I371" s="65">
        <v>0.49977309325300306</v>
      </c>
      <c r="J371" s="162">
        <v>0</v>
      </c>
    </row>
    <row r="372" spans="1:10" hidden="1">
      <c r="A372" s="64">
        <v>6298</v>
      </c>
      <c r="B372" s="52">
        <v>0.66</v>
      </c>
      <c r="C372" s="160">
        <v>0.61963190184049077</v>
      </c>
      <c r="D372" s="157">
        <v>168181818.18181819</v>
      </c>
      <c r="E372" s="26">
        <f>VLOOKUP(6298,季財報!$A:$H,8,0)</f>
        <v>3</v>
      </c>
      <c r="F372" s="160">
        <v>2.3441666666666666E-2</v>
      </c>
      <c r="G372" s="54">
        <v>2783409090.909091</v>
      </c>
      <c r="H372" s="54">
        <v>5592031000</v>
      </c>
      <c r="I372" s="65">
        <v>0.50018798605880888</v>
      </c>
      <c r="J372" s="162">
        <v>10.117199219921993</v>
      </c>
    </row>
    <row r="373" spans="1:10" hidden="1">
      <c r="A373" s="64">
        <v>4939</v>
      </c>
      <c r="B373" s="52">
        <v>-0.31</v>
      </c>
      <c r="C373" s="160">
        <v>0.59493670886075944</v>
      </c>
      <c r="D373" s="157">
        <v>100000000</v>
      </c>
      <c r="E373" s="26">
        <f>VLOOKUP(4939,季財報!$A:$H,8,0)</f>
        <v>2</v>
      </c>
      <c r="F373" s="160">
        <v>1.3566666666666663E-2</v>
      </c>
      <c r="G373" s="54">
        <v>806000000</v>
      </c>
      <c r="H373" s="54">
        <v>1591910000</v>
      </c>
      <c r="I373" s="65">
        <v>0.50020076296131266</v>
      </c>
      <c r="J373" s="162">
        <v>0</v>
      </c>
    </row>
    <row r="374" spans="1:10" hidden="1">
      <c r="A374" s="64">
        <v>3536</v>
      </c>
      <c r="B374" s="150">
        <v>-0.04</v>
      </c>
      <c r="C374" s="159">
        <v>1</v>
      </c>
      <c r="D374" s="152">
        <v>100000000</v>
      </c>
      <c r="E374" s="26">
        <f>VLOOKUP(3536,季財報!$A:$H,8,0)</f>
        <v>4</v>
      </c>
      <c r="F374" s="159">
        <v>-3.4166666666666681E-3</v>
      </c>
      <c r="G374" s="152">
        <v>608000000</v>
      </c>
      <c r="H374" s="152">
        <v>1192800000</v>
      </c>
      <c r="I374" s="150">
        <v>0.50181453826046984</v>
      </c>
      <c r="J374" s="152">
        <v>0</v>
      </c>
    </row>
    <row r="375" spans="1:10" hidden="1">
      <c r="A375" s="64">
        <v>4942</v>
      </c>
      <c r="B375" s="52">
        <v>-2.27</v>
      </c>
      <c r="C375" s="160">
        <v>0.54025974025974022</v>
      </c>
      <c r="D375" s="157">
        <v>152422907.48898679</v>
      </c>
      <c r="E375" s="26">
        <f>VLOOKUP(4942,季財報!$A:$H,8,0)</f>
        <v>1</v>
      </c>
      <c r="F375" s="160">
        <v>-9.7416666666666641E-3</v>
      </c>
      <c r="G375" s="54">
        <v>3703876651.982379</v>
      </c>
      <c r="H375" s="54">
        <v>7216170000</v>
      </c>
      <c r="I375" s="65">
        <v>0.50196008823385874</v>
      </c>
      <c r="J375" s="162">
        <v>0</v>
      </c>
    </row>
    <row r="376" spans="1:10" hidden="1">
      <c r="A376" s="64">
        <v>6226</v>
      </c>
      <c r="B376" s="52">
        <v>0.04</v>
      </c>
      <c r="C376" s="160">
        <v>0.51851851851851849</v>
      </c>
      <c r="D376" s="157">
        <v>100000000</v>
      </c>
      <c r="E376" s="26">
        <f>VLOOKUP(6226,季財報!$A:$H,8,0)</f>
        <v>2</v>
      </c>
      <c r="F376" s="160">
        <v>1.23E-2</v>
      </c>
      <c r="G376" s="54">
        <v>568000000</v>
      </c>
      <c r="H376" s="54">
        <v>1120010000</v>
      </c>
      <c r="I376" s="65">
        <v>0.50490953407872674</v>
      </c>
      <c r="J376" s="162">
        <v>50</v>
      </c>
    </row>
    <row r="377" spans="1:10" hidden="1">
      <c r="A377" s="64">
        <v>1515</v>
      </c>
      <c r="B377" s="150">
        <v>0.66</v>
      </c>
      <c r="C377" s="159">
        <v>0.76851851851851849</v>
      </c>
      <c r="D377" s="152">
        <v>180303030.30303028</v>
      </c>
      <c r="E377" s="26">
        <f>VLOOKUP(1515,季財報!$A:$H,8,0)</f>
        <v>5</v>
      </c>
      <c r="F377" s="159">
        <v>-4.4833333333333236E-3</v>
      </c>
      <c r="G377" s="152">
        <v>1830075757.5757575</v>
      </c>
      <c r="H377" s="152">
        <v>3533014000</v>
      </c>
      <c r="I377" s="150">
        <v>0.50513400749161597</v>
      </c>
      <c r="J377" s="152">
        <v>5.0027382256297921</v>
      </c>
    </row>
    <row r="378" spans="1:10" hidden="1">
      <c r="A378" s="64">
        <v>8064</v>
      </c>
      <c r="B378" s="52">
        <v>0.12</v>
      </c>
      <c r="C378" s="160">
        <v>0</v>
      </c>
      <c r="D378" s="157">
        <v>133333333.33333334</v>
      </c>
      <c r="E378" s="26">
        <f>VLOOKUP(8064,季財報!$A:$H,8,0)</f>
        <v>1</v>
      </c>
      <c r="F378" s="160">
        <v>3.7099999999999987E-2</v>
      </c>
      <c r="G378" s="54">
        <v>1513333333.3333335</v>
      </c>
      <c r="H378" s="54">
        <v>3024450000</v>
      </c>
      <c r="I378" s="65">
        <v>0.50558419975876734</v>
      </c>
      <c r="J378" s="162">
        <v>0</v>
      </c>
    </row>
    <row r="379" spans="1:10" hidden="1">
      <c r="A379" s="64">
        <v>2399</v>
      </c>
      <c r="B379" s="150">
        <v>0.08</v>
      </c>
      <c r="C379" s="159">
        <v>1</v>
      </c>
      <c r="D379" s="152">
        <v>200000000</v>
      </c>
      <c r="E379" s="26">
        <f>VLOOKUP(2399,季財報!$A:$H,8,0)</f>
        <v>3</v>
      </c>
      <c r="F379" s="159">
        <v>0.93277500000000002</v>
      </c>
      <c r="G379" s="152">
        <v>1420000000</v>
      </c>
      <c r="H379" s="152">
        <v>2666853000</v>
      </c>
      <c r="I379" s="150">
        <v>0.50679624471120643</v>
      </c>
      <c r="J379" s="152">
        <v>22.1875</v>
      </c>
    </row>
    <row r="380" spans="1:10" hidden="1">
      <c r="A380" s="64">
        <v>4175</v>
      </c>
      <c r="B380" s="52">
        <v>1.17</v>
      </c>
      <c r="C380" s="160">
        <v>0.8771929824561403</v>
      </c>
      <c r="D380" s="157">
        <v>24786324.786324788</v>
      </c>
      <c r="E380" s="26">
        <f>VLOOKUP(4175,季財報!$A:$H,8,0)</f>
        <v>1</v>
      </c>
      <c r="F380" s="160">
        <v>1.7841666666666669E-2</v>
      </c>
      <c r="G380" s="54">
        <v>1943247863.2478635</v>
      </c>
      <c r="H380" s="54">
        <v>3850830000</v>
      </c>
      <c r="I380" s="65">
        <v>0.50819503498144747</v>
      </c>
      <c r="J380" s="162">
        <v>19.097435897435901</v>
      </c>
    </row>
    <row r="381" spans="1:10" hidden="1">
      <c r="A381" s="64">
        <v>2323</v>
      </c>
      <c r="B381" s="150">
        <v>-0.26</v>
      </c>
      <c r="C381" s="159">
        <v>1</v>
      </c>
      <c r="D381" s="152">
        <v>2088461538.4615383</v>
      </c>
      <c r="E381" s="26">
        <f>VLOOKUP(2323,季財報!$A:$H,8,0)</f>
        <v>0</v>
      </c>
      <c r="F381" s="159">
        <v>-3.5275000000000008E-2</v>
      </c>
      <c r="G381" s="152">
        <v>7017230769.2307682</v>
      </c>
      <c r="H381" s="152">
        <v>13238800000</v>
      </c>
      <c r="I381" s="150">
        <v>0.5092507408988679</v>
      </c>
      <c r="J381" s="152">
        <v>0</v>
      </c>
    </row>
    <row r="382" spans="1:10" hidden="1">
      <c r="A382" s="64">
        <v>3018</v>
      </c>
      <c r="B382" s="150">
        <v>-0.05</v>
      </c>
      <c r="C382" s="159">
        <v>1</v>
      </c>
      <c r="D382" s="152">
        <v>40000000</v>
      </c>
      <c r="E382" s="26">
        <f>VLOOKUP(3018,季財報!$A:$H,8,0)</f>
        <v>0</v>
      </c>
      <c r="F382" s="159">
        <v>-4.0583333333333348E-3</v>
      </c>
      <c r="G382" s="152">
        <v>634000000</v>
      </c>
      <c r="H382" s="152">
        <v>1195098000</v>
      </c>
      <c r="I382" s="150">
        <v>0.51001487409309465</v>
      </c>
      <c r="J382" s="152">
        <v>0</v>
      </c>
    </row>
    <row r="383" spans="1:10" hidden="1">
      <c r="A383" s="64">
        <v>5356</v>
      </c>
      <c r="B383" s="52">
        <v>1.46</v>
      </c>
      <c r="C383" s="160">
        <v>0.66533864541832666</v>
      </c>
      <c r="D383" s="157">
        <v>129452054.79452056</v>
      </c>
      <c r="E383" s="26">
        <f>VLOOKUP(5356,季財報!$A:$H,8,0)</f>
        <v>1</v>
      </c>
      <c r="F383" s="160">
        <v>-2.8000000000000004E-3</v>
      </c>
      <c r="G383" s="54">
        <v>4867397260.2739735</v>
      </c>
      <c r="H383" s="54">
        <v>9406239000</v>
      </c>
      <c r="I383" s="65">
        <v>0.51217392460135336</v>
      </c>
      <c r="J383" s="162">
        <v>9.6768107620375705</v>
      </c>
    </row>
    <row r="384" spans="1:10" hidden="1">
      <c r="A384" s="64">
        <v>1220</v>
      </c>
      <c r="B384" s="150">
        <v>0.32</v>
      </c>
      <c r="C384" s="159">
        <v>0.78409090909090906</v>
      </c>
      <c r="D384" s="152">
        <v>178125000</v>
      </c>
      <c r="E384" s="26">
        <f>VLOOKUP(1220,季財報!$A:$H,8,0)</f>
        <v>2</v>
      </c>
      <c r="F384" s="159">
        <v>-2.2050000000000004E-2</v>
      </c>
      <c r="G384" s="152">
        <v>1879218750.0000002</v>
      </c>
      <c r="H384" s="152">
        <v>3513351000</v>
      </c>
      <c r="I384" s="150">
        <v>0.51236198645711439</v>
      </c>
      <c r="J384" s="152">
        <v>10.511775362318842</v>
      </c>
    </row>
    <row r="385" spans="1:10" hidden="1">
      <c r="A385" s="64">
        <v>5291</v>
      </c>
      <c r="B385" s="52">
        <v>0.52</v>
      </c>
      <c r="C385" s="160">
        <v>0</v>
      </c>
      <c r="D385" s="157">
        <v>32692307.692307692</v>
      </c>
      <c r="E385" s="26">
        <f>VLOOKUP(5291,季財報!$A:$H,8,0)</f>
        <v>1</v>
      </c>
      <c r="F385" s="160">
        <v>-4.183333333333334E-3</v>
      </c>
      <c r="G385" s="54">
        <v>542692307.69230771</v>
      </c>
      <c r="H385" s="54">
        <v>1044680000</v>
      </c>
      <c r="I385" s="65">
        <v>0.51267178592395846</v>
      </c>
      <c r="J385" s="162">
        <v>0</v>
      </c>
    </row>
    <row r="386" spans="1:10" hidden="1">
      <c r="A386" s="64">
        <v>9955</v>
      </c>
      <c r="B386" s="52">
        <v>-0.23</v>
      </c>
      <c r="C386" s="160">
        <v>0.98305084745762716</v>
      </c>
      <c r="D386" s="157">
        <v>100000000</v>
      </c>
      <c r="E386" s="26">
        <f>VLOOKUP(9955,季財報!$A:$H,8,0)</f>
        <v>2</v>
      </c>
      <c r="F386" s="160">
        <v>6.532499999999998E-2</v>
      </c>
      <c r="G386" s="54">
        <v>1300000000</v>
      </c>
      <c r="H386" s="54">
        <v>2359005000</v>
      </c>
      <c r="I386" s="65">
        <v>0.5130777600919435</v>
      </c>
      <c r="J386" s="162">
        <v>0</v>
      </c>
    </row>
    <row r="387" spans="1:10" hidden="1">
      <c r="A387" s="64">
        <v>3051</v>
      </c>
      <c r="B387" s="150">
        <v>0.41</v>
      </c>
      <c r="C387" s="159">
        <v>1</v>
      </c>
      <c r="D387" s="152">
        <v>326829268.29268295</v>
      </c>
      <c r="E387" s="26">
        <f>VLOOKUP(3051,季財報!$A:$H,8,0)</f>
        <v>2</v>
      </c>
      <c r="F387" s="159">
        <v>-4.7833333333333332E-2</v>
      </c>
      <c r="G387" s="152">
        <v>1996926829.2682929</v>
      </c>
      <c r="H387" s="152">
        <v>3628111000</v>
      </c>
      <c r="I387" s="150">
        <v>0.51380752771517935</v>
      </c>
      <c r="J387" s="152">
        <v>3.7256097560975614</v>
      </c>
    </row>
    <row r="388" spans="1:10" hidden="1">
      <c r="A388" s="64">
        <v>6121</v>
      </c>
      <c r="B388" s="52">
        <v>2.5099999999999998</v>
      </c>
      <c r="C388" s="160">
        <v>0.72040133779264215</v>
      </c>
      <c r="D388" s="157">
        <v>307968127.49003989</v>
      </c>
      <c r="E388" s="26">
        <f>VLOOKUP(6121,季財報!$A:$H,8,0)</f>
        <v>2</v>
      </c>
      <c r="F388" s="160">
        <v>8.1166666666666731E-3</v>
      </c>
      <c r="G388" s="54">
        <v>33876494023.904388</v>
      </c>
      <c r="H388" s="54">
        <v>65779505000</v>
      </c>
      <c r="I388" s="65">
        <v>0.51407391924772194</v>
      </c>
      <c r="J388" s="162">
        <v>15.208432749965782</v>
      </c>
    </row>
    <row r="389" spans="1:10" hidden="1">
      <c r="A389" s="64">
        <v>2415</v>
      </c>
      <c r="B389" s="150">
        <v>0.4</v>
      </c>
      <c r="C389" s="159">
        <v>1</v>
      </c>
      <c r="D389" s="152">
        <v>90000000</v>
      </c>
      <c r="E389" s="26">
        <f>VLOOKUP(2415,季財報!$A:$H,8,0)</f>
        <v>4</v>
      </c>
      <c r="F389" s="159">
        <v>1.8208333333333337E-2</v>
      </c>
      <c r="G389" s="152">
        <v>1098000000</v>
      </c>
      <c r="H389" s="152">
        <v>2145359000</v>
      </c>
      <c r="I389" s="150">
        <v>0.516408916848758</v>
      </c>
      <c r="J389" s="152">
        <v>7.6249999999999991</v>
      </c>
    </row>
    <row r="390" spans="1:10" hidden="1">
      <c r="A390" s="64">
        <v>9919</v>
      </c>
      <c r="B390" s="52">
        <v>0.03</v>
      </c>
      <c r="C390" s="160">
        <v>1</v>
      </c>
      <c r="D390" s="157">
        <v>200000000</v>
      </c>
      <c r="E390" s="26">
        <f>VLOOKUP(9919,季財報!$A:$H,8,0)</f>
        <v>1</v>
      </c>
      <c r="F390" s="160">
        <v>2.3066666666666666E-2</v>
      </c>
      <c r="G390" s="54">
        <v>2210000000</v>
      </c>
      <c r="H390" s="54">
        <v>4319838000</v>
      </c>
      <c r="I390" s="65">
        <v>0.51759143393202967</v>
      </c>
      <c r="J390" s="162">
        <v>50</v>
      </c>
    </row>
    <row r="391" spans="1:10" hidden="1">
      <c r="A391" s="64">
        <v>5016</v>
      </c>
      <c r="B391" s="52">
        <v>0.48</v>
      </c>
      <c r="C391" s="160">
        <v>1</v>
      </c>
      <c r="D391" s="157">
        <v>50000000</v>
      </c>
      <c r="E391" s="26">
        <f>VLOOKUP(5016,季財報!$A:$H,8,0)</f>
        <v>2</v>
      </c>
      <c r="F391" s="160">
        <v>1.8674999999999997E-2</v>
      </c>
      <c r="G391" s="54">
        <v>1195000000</v>
      </c>
      <c r="H391" s="54">
        <v>2282727000</v>
      </c>
      <c r="I391" s="65">
        <v>0.5196140159249738</v>
      </c>
      <c r="J391" s="162">
        <v>12.447916666666666</v>
      </c>
    </row>
    <row r="392" spans="1:10" hidden="1">
      <c r="A392" s="64">
        <v>6274</v>
      </c>
      <c r="B392" s="52">
        <v>0.92</v>
      </c>
      <c r="C392" s="160">
        <v>0.99748743718592969</v>
      </c>
      <c r="D392" s="157">
        <v>241304347.82608694</v>
      </c>
      <c r="E392" s="26">
        <f>VLOOKUP(6274,季財報!$A:$H,8,0)</f>
        <v>3</v>
      </c>
      <c r="F392" s="160">
        <v>8.9999999999999922E-4</v>
      </c>
      <c r="G392" s="54">
        <v>6756521739.130434</v>
      </c>
      <c r="H392" s="54">
        <v>12939284000</v>
      </c>
      <c r="I392" s="65">
        <v>0.51994321845320635</v>
      </c>
      <c r="J392" s="162">
        <v>7.6278611324060881</v>
      </c>
    </row>
    <row r="393" spans="1:10" hidden="1">
      <c r="A393" s="64">
        <v>9937</v>
      </c>
      <c r="B393" s="52">
        <v>0.33</v>
      </c>
      <c r="C393" s="160">
        <v>0.23961661341853036</v>
      </c>
      <c r="D393" s="157">
        <v>312121212.12121212</v>
      </c>
      <c r="E393" s="26">
        <f>VLOOKUP(9937,季財報!$A:$H,8,0)</f>
        <v>3</v>
      </c>
      <c r="F393" s="160">
        <v>-1.5733333333333335E-2</v>
      </c>
      <c r="G393" s="54">
        <v>11189545454.545456</v>
      </c>
      <c r="H393" s="54">
        <v>21072810000</v>
      </c>
      <c r="I393" s="65">
        <v>0.52093775092891337</v>
      </c>
      <c r="J393" s="162">
        <v>50</v>
      </c>
    </row>
    <row r="394" spans="1:10" hidden="1">
      <c r="A394" s="64">
        <v>4720</v>
      </c>
      <c r="B394" s="52">
        <v>0.5</v>
      </c>
      <c r="C394" s="160">
        <v>0.6470588235294118</v>
      </c>
      <c r="D394" s="157">
        <v>80000000</v>
      </c>
      <c r="E394" s="26">
        <f>VLOOKUP(4720,季財報!$A:$H,8,0)</f>
        <v>3</v>
      </c>
      <c r="F394" s="160">
        <v>4.5391666666666663E-2</v>
      </c>
      <c r="G394" s="54">
        <v>1280000000</v>
      </c>
      <c r="H394" s="54">
        <v>2450471000</v>
      </c>
      <c r="I394" s="65">
        <v>0.52154957267569191</v>
      </c>
      <c r="J394" s="162">
        <v>12.363636363636363</v>
      </c>
    </row>
    <row r="395" spans="1:10" hidden="1">
      <c r="A395" s="64">
        <v>5603</v>
      </c>
      <c r="B395" s="52">
        <v>0.48</v>
      </c>
      <c r="C395" s="160">
        <v>1</v>
      </c>
      <c r="D395" s="157">
        <v>77083333.333333343</v>
      </c>
      <c r="E395" s="26">
        <f>VLOOKUP(5603,季財報!$A:$H,8,0)</f>
        <v>2</v>
      </c>
      <c r="F395" s="160">
        <v>-1.0316666666666665E-2</v>
      </c>
      <c r="G395" s="54">
        <v>1106145833.3333335</v>
      </c>
      <c r="H395" s="54">
        <v>2068699000</v>
      </c>
      <c r="I395" s="65">
        <v>0.52223272425230882</v>
      </c>
      <c r="J395" s="162">
        <v>7.473958333333333</v>
      </c>
    </row>
    <row r="396" spans="1:10" hidden="1">
      <c r="A396" s="64">
        <v>3296</v>
      </c>
      <c r="B396" s="150">
        <v>0.37</v>
      </c>
      <c r="C396" s="159">
        <v>0</v>
      </c>
      <c r="D396" s="152">
        <v>110810810.81081082</v>
      </c>
      <c r="E396" s="26">
        <f>VLOOKUP(3296,季財報!$A:$H,8,0)</f>
        <v>2</v>
      </c>
      <c r="F396" s="159">
        <v>2.9524999999999985E-2</v>
      </c>
      <c r="G396" s="152">
        <v>1451621621.6216216</v>
      </c>
      <c r="H396" s="152">
        <v>2753918000</v>
      </c>
      <c r="I396" s="150">
        <v>0.5231002930131049</v>
      </c>
      <c r="J396" s="152">
        <v>0</v>
      </c>
    </row>
    <row r="397" spans="1:10" hidden="1">
      <c r="A397" s="64">
        <v>6188</v>
      </c>
      <c r="B397" s="52">
        <v>0.34</v>
      </c>
      <c r="C397" s="160">
        <v>0.14354066985645933</v>
      </c>
      <c r="D397" s="157">
        <v>279411764.70588231</v>
      </c>
      <c r="E397" s="26">
        <f>VLOOKUP(6188,季財報!$A:$H,8,0)</f>
        <v>0</v>
      </c>
      <c r="F397" s="160">
        <v>-7.7416666666666684E-3</v>
      </c>
      <c r="G397" s="54">
        <v>5909558823.5294104</v>
      </c>
      <c r="H397" s="54">
        <v>11049686000</v>
      </c>
      <c r="I397" s="65">
        <v>0.52321919310650278</v>
      </c>
      <c r="J397" s="162">
        <v>50</v>
      </c>
    </row>
    <row r="398" spans="1:10" hidden="1">
      <c r="A398" s="64">
        <v>3689</v>
      </c>
      <c r="B398" s="150">
        <v>0.54</v>
      </c>
      <c r="C398" s="159">
        <v>0.69411764705882351</v>
      </c>
      <c r="D398" s="152">
        <v>70370370.370370373</v>
      </c>
      <c r="E398" s="26">
        <f>VLOOKUP(3689,季財報!$A:$H,8,0)</f>
        <v>1</v>
      </c>
      <c r="F398" s="159">
        <v>9.5416666666666688E-3</v>
      </c>
      <c r="G398" s="152">
        <v>2385555555.5555553</v>
      </c>
      <c r="H398" s="152">
        <v>4539317000</v>
      </c>
      <c r="I398" s="150">
        <v>0.52384407960302426</v>
      </c>
      <c r="J398" s="152">
        <v>22.610640301318266</v>
      </c>
    </row>
    <row r="399" spans="1:10" hidden="1">
      <c r="A399" s="64">
        <v>6259</v>
      </c>
      <c r="B399" s="52">
        <v>-0.39</v>
      </c>
      <c r="C399" s="160">
        <v>1</v>
      </c>
      <c r="D399" s="157">
        <v>71794871.794871792</v>
      </c>
      <c r="E399" s="26">
        <f>VLOOKUP(6259,季財報!$A:$H,8,0)</f>
        <v>1</v>
      </c>
      <c r="F399" s="160">
        <v>8.0833333333333313E-3</v>
      </c>
      <c r="G399" s="54">
        <v>683487179.4871794</v>
      </c>
      <c r="H399" s="54">
        <v>1262246000</v>
      </c>
      <c r="I399" s="65">
        <v>0.52446635754710835</v>
      </c>
      <c r="J399" s="162">
        <v>0</v>
      </c>
    </row>
    <row r="400" spans="1:10" hidden="1">
      <c r="A400" s="64">
        <v>3528</v>
      </c>
      <c r="B400" s="150">
        <v>0.9</v>
      </c>
      <c r="C400" s="159">
        <v>1</v>
      </c>
      <c r="D400" s="152">
        <v>56666666.666666664</v>
      </c>
      <c r="E400" s="26">
        <f>VLOOKUP(3528,季財報!$A:$H,8,0)</f>
        <v>1</v>
      </c>
      <c r="F400" s="159">
        <v>3.6300000000000006E-2</v>
      </c>
      <c r="G400" s="152">
        <v>1711333333.3333333</v>
      </c>
      <c r="H400" s="152">
        <v>3276917000</v>
      </c>
      <c r="I400" s="150">
        <v>0.52515668265458826</v>
      </c>
      <c r="J400" s="152">
        <v>8.3888888888888893</v>
      </c>
    </row>
    <row r="401" spans="1:10" hidden="1">
      <c r="A401" s="64">
        <v>8905</v>
      </c>
      <c r="B401" s="52">
        <v>0.38</v>
      </c>
      <c r="C401" s="160">
        <v>0</v>
      </c>
      <c r="D401" s="157">
        <v>110526315.78947368</v>
      </c>
      <c r="E401" s="26">
        <f>VLOOKUP(8905,季財報!$A:$H,8,0)</f>
        <v>1</v>
      </c>
      <c r="F401" s="160">
        <v>-0.1069</v>
      </c>
      <c r="G401" s="54">
        <v>1481052631.5789473</v>
      </c>
      <c r="H401" s="54">
        <v>2237693000</v>
      </c>
      <c r="I401" s="65">
        <v>0.52650607258520488</v>
      </c>
      <c r="J401" s="162">
        <v>0</v>
      </c>
    </row>
    <row r="402" spans="1:10" hidden="1">
      <c r="A402" s="64">
        <v>1417</v>
      </c>
      <c r="B402" s="150">
        <v>-0.34</v>
      </c>
      <c r="C402" s="159">
        <v>1</v>
      </c>
      <c r="D402" s="152">
        <v>379411764.70588231</v>
      </c>
      <c r="E402" s="26">
        <f>VLOOKUP(1417,季財報!$A:$H,8,0)</f>
        <v>1</v>
      </c>
      <c r="F402" s="159">
        <v>3.9674999999999995E-2</v>
      </c>
      <c r="G402" s="152">
        <v>1859117647.0588233</v>
      </c>
      <c r="H402" s="152">
        <v>3614007000</v>
      </c>
      <c r="I402" s="150">
        <v>0.5275173090938976</v>
      </c>
      <c r="J402" s="152">
        <v>0</v>
      </c>
    </row>
    <row r="403" spans="1:10" hidden="1">
      <c r="A403" s="64">
        <v>4903</v>
      </c>
      <c r="B403" s="52">
        <v>0.32</v>
      </c>
      <c r="C403" s="160">
        <v>0.66666666666666663</v>
      </c>
      <c r="D403" s="157">
        <v>87500000</v>
      </c>
      <c r="E403" s="26">
        <f>VLOOKUP(4903,季財報!$A:$H,8,0)</f>
        <v>2</v>
      </c>
      <c r="F403" s="160">
        <v>8.1716666666666674E-2</v>
      </c>
      <c r="G403" s="54">
        <v>993125000</v>
      </c>
      <c r="H403" s="54">
        <v>1763734000</v>
      </c>
      <c r="I403" s="65">
        <v>0.52934200357114303</v>
      </c>
      <c r="J403" s="162">
        <v>13.30078125</v>
      </c>
    </row>
    <row r="404" spans="1:10" hidden="1">
      <c r="A404" s="64">
        <v>5478</v>
      </c>
      <c r="B404" s="52">
        <v>0.43</v>
      </c>
      <c r="C404" s="160">
        <v>0.4838709677419355</v>
      </c>
      <c r="D404" s="157">
        <v>127906976.74418604</v>
      </c>
      <c r="E404" s="26">
        <f>VLOOKUP(5478,季財報!$A:$H,8,0)</f>
        <v>3</v>
      </c>
      <c r="F404" s="160">
        <v>9.8416666666666652E-3</v>
      </c>
      <c r="G404" s="54">
        <v>7904651162.7906971</v>
      </c>
      <c r="H404" s="54">
        <v>14983870000</v>
      </c>
      <c r="I404" s="65">
        <v>0.52953329563515328</v>
      </c>
      <c r="J404" s="162">
        <v>50</v>
      </c>
    </row>
    <row r="405" spans="1:10" hidden="1">
      <c r="A405" s="64">
        <v>3661</v>
      </c>
      <c r="B405" s="150">
        <v>1.51</v>
      </c>
      <c r="C405" s="159">
        <v>0.85321100917431192</v>
      </c>
      <c r="D405" s="152">
        <v>61589403.97350993</v>
      </c>
      <c r="E405" s="26">
        <f>VLOOKUP(3661,季財報!$A:$H,8,0)</f>
        <v>2</v>
      </c>
      <c r="F405" s="159">
        <v>1.450833333333333E-2</v>
      </c>
      <c r="G405" s="152">
        <v>2109437086.092715</v>
      </c>
      <c r="H405" s="152">
        <v>3854028000</v>
      </c>
      <c r="I405" s="150">
        <v>0.53013772333115738</v>
      </c>
      <c r="J405" s="152">
        <v>6.6461048209072144</v>
      </c>
    </row>
    <row r="406" spans="1:10" hidden="1">
      <c r="A406" s="64">
        <v>9927</v>
      </c>
      <c r="B406" s="52">
        <v>0.43</v>
      </c>
      <c r="C406" s="160">
        <v>1</v>
      </c>
      <c r="D406" s="157">
        <v>209302325.58139536</v>
      </c>
      <c r="E406" s="26">
        <f>VLOOKUP(9927,季財報!$A:$H,8,0)</f>
        <v>3</v>
      </c>
      <c r="F406" s="160">
        <v>-4.1666666666666415E-5</v>
      </c>
      <c r="G406" s="54">
        <v>5693023255.8139534</v>
      </c>
      <c r="H406" s="54">
        <v>10619823000</v>
      </c>
      <c r="I406" s="65">
        <v>0.53149645149042957</v>
      </c>
      <c r="J406" s="162">
        <v>15.813953488372093</v>
      </c>
    </row>
    <row r="407" spans="1:10" hidden="1">
      <c r="A407" s="64">
        <v>2006</v>
      </c>
      <c r="B407" s="150">
        <v>0.15</v>
      </c>
      <c r="C407" s="159">
        <v>0.90466926070038911</v>
      </c>
      <c r="D407" s="152">
        <v>1013333333.3333334</v>
      </c>
      <c r="E407" s="26">
        <f>VLOOKUP(2006,季財報!$A:$H,8,0)</f>
        <v>1</v>
      </c>
      <c r="F407" s="159">
        <v>1.6083333333333335E-2</v>
      </c>
      <c r="G407" s="152">
        <v>17125333333.333332</v>
      </c>
      <c r="H407" s="152">
        <v>31900379000</v>
      </c>
      <c r="I407" s="150">
        <v>0.53167337322704999</v>
      </c>
      <c r="J407" s="152">
        <v>31.134767025089605</v>
      </c>
    </row>
    <row r="408" spans="1:10" hidden="1">
      <c r="A408" s="64">
        <v>3056</v>
      </c>
      <c r="B408" s="150">
        <v>2.8</v>
      </c>
      <c r="C408" s="159">
        <v>0.97267759562841527</v>
      </c>
      <c r="D408" s="152">
        <v>199642857.14285716</v>
      </c>
      <c r="E408" s="26">
        <f>VLOOKUP(3056,季財報!$A:$H,8,0)</f>
        <v>0</v>
      </c>
      <c r="F408" s="159">
        <v>9.0255833333333317</v>
      </c>
      <c r="G408" s="152">
        <v>2335821428.5714288</v>
      </c>
      <c r="H408" s="152">
        <v>4099441000</v>
      </c>
      <c r="I408" s="150">
        <v>0.53215583984790227</v>
      </c>
      <c r="J408" s="152">
        <v>1.0739867576243982</v>
      </c>
    </row>
    <row r="409" spans="1:10" hidden="1">
      <c r="A409" s="64">
        <v>4533</v>
      </c>
      <c r="B409" s="52">
        <v>0.12</v>
      </c>
      <c r="C409" s="160">
        <v>0.8125</v>
      </c>
      <c r="D409" s="157">
        <v>158333333.33333334</v>
      </c>
      <c r="E409" s="26">
        <f>VLOOKUP(4533,季財報!$A:$H,8,0)</f>
        <v>1</v>
      </c>
      <c r="F409" s="160">
        <v>0.19853333333333331</v>
      </c>
      <c r="G409" s="54">
        <v>1812916666.6666667</v>
      </c>
      <c r="H409" s="54">
        <v>3420363000</v>
      </c>
      <c r="I409" s="65">
        <v>0.53242264220836233</v>
      </c>
      <c r="J409" s="162">
        <v>29.358974358974358</v>
      </c>
    </row>
    <row r="410" spans="1:10" hidden="1">
      <c r="A410" s="64">
        <v>3388</v>
      </c>
      <c r="B410" s="150">
        <v>1.33</v>
      </c>
      <c r="C410" s="159">
        <v>0.98742138364779874</v>
      </c>
      <c r="D410" s="152">
        <v>62406015.037593983</v>
      </c>
      <c r="E410" s="26">
        <f>VLOOKUP(3388,季財報!$A:$H,8,0)</f>
        <v>2</v>
      </c>
      <c r="F410" s="159">
        <v>1.735833333333333E-2</v>
      </c>
      <c r="G410" s="152">
        <v>3806766917.2932329</v>
      </c>
      <c r="H410" s="152">
        <v>7161373000</v>
      </c>
      <c r="I410" s="150">
        <v>0.53265043710838222</v>
      </c>
      <c r="J410" s="152">
        <v>11.612231214980124</v>
      </c>
    </row>
    <row r="411" spans="1:10" hidden="1">
      <c r="A411" s="64">
        <v>2367</v>
      </c>
      <c r="B411" s="150">
        <v>0.53</v>
      </c>
      <c r="C411" s="159">
        <v>0.6837944664031621</v>
      </c>
      <c r="D411" s="152">
        <v>562264150.94339621</v>
      </c>
      <c r="E411" s="26">
        <f>VLOOKUP(2367,季財報!$A:$H,8,0)</f>
        <v>3</v>
      </c>
      <c r="F411" s="159">
        <v>1.5341666666666672E-2</v>
      </c>
      <c r="G411" s="152">
        <v>7450000000</v>
      </c>
      <c r="H411" s="152">
        <v>14082528000</v>
      </c>
      <c r="I411" s="150">
        <v>0.53335372247966384</v>
      </c>
      <c r="J411" s="152">
        <v>9.1401734104046231</v>
      </c>
    </row>
    <row r="412" spans="1:10" hidden="1">
      <c r="A412" s="64">
        <v>1443</v>
      </c>
      <c r="B412" s="150">
        <v>0.27</v>
      </c>
      <c r="C412" s="159">
        <v>0</v>
      </c>
      <c r="D412" s="152">
        <v>133333333.33333333</v>
      </c>
      <c r="E412" s="26">
        <f>VLOOKUP(1443,季財報!$A:$H,8,0)</f>
        <v>1</v>
      </c>
      <c r="F412" s="159">
        <v>3.1400000000000004E-2</v>
      </c>
      <c r="G412" s="152">
        <v>698666666.66666663</v>
      </c>
      <c r="H412" s="152">
        <v>1324311000</v>
      </c>
      <c r="I412" s="150">
        <v>0.53409533652720298</v>
      </c>
      <c r="J412" s="152">
        <v>0</v>
      </c>
    </row>
    <row r="413" spans="1:10" hidden="1">
      <c r="A413" s="64">
        <v>5321</v>
      </c>
      <c r="B413" s="52">
        <v>0.67</v>
      </c>
      <c r="C413" s="160">
        <v>0.23809523809523808</v>
      </c>
      <c r="D413" s="157">
        <v>28358208.955223881</v>
      </c>
      <c r="E413" s="26">
        <f>VLOOKUP(5321,季財報!$A:$H,8,0)</f>
        <v>2</v>
      </c>
      <c r="F413" s="160">
        <v>-2.8749999999999994E-2</v>
      </c>
      <c r="G413" s="54">
        <v>650820895.5223881</v>
      </c>
      <c r="H413" s="54">
        <v>1169298000</v>
      </c>
      <c r="I413" s="65">
        <v>0.53525108664685839</v>
      </c>
      <c r="J413" s="162">
        <v>35.96641791044776</v>
      </c>
    </row>
    <row r="414" spans="1:10" hidden="1">
      <c r="A414" s="64">
        <v>1259</v>
      </c>
      <c r="B414" s="150">
        <v>1.66</v>
      </c>
      <c r="C414" s="159">
        <v>1</v>
      </c>
      <c r="D414" s="152">
        <v>32530120.481927712</v>
      </c>
      <c r="E414" s="26">
        <f>VLOOKUP(1259,季財報!$A:$H,8,0)</f>
        <v>3</v>
      </c>
      <c r="F414" s="159">
        <v>7.4666666666666657E-3</v>
      </c>
      <c r="G414" s="152">
        <v>2342168674.6987953</v>
      </c>
      <c r="H414" s="152">
        <v>4395642000</v>
      </c>
      <c r="I414" s="150">
        <v>0.53597775937127956</v>
      </c>
      <c r="J414" s="152">
        <v>10.843373493975903</v>
      </c>
    </row>
    <row r="415" spans="1:10" hidden="1">
      <c r="A415" s="64">
        <v>2364</v>
      </c>
      <c r="B415" s="150">
        <v>-0.2</v>
      </c>
      <c r="C415" s="159">
        <v>1</v>
      </c>
      <c r="D415" s="152">
        <v>185000000</v>
      </c>
      <c r="E415" s="26">
        <f>VLOOKUP(2364,季財報!$A:$H,8,0)</f>
        <v>4</v>
      </c>
      <c r="F415" s="159">
        <v>8.128333333333336E-2</v>
      </c>
      <c r="G415" s="152">
        <v>421799999.99999994</v>
      </c>
      <c r="H415" s="152">
        <v>825057000</v>
      </c>
      <c r="I415" s="150">
        <v>0.53746519791792757</v>
      </c>
      <c r="J415" s="152">
        <v>0</v>
      </c>
    </row>
    <row r="416" spans="1:10" hidden="1">
      <c r="A416" s="64">
        <v>2359</v>
      </c>
      <c r="B416" s="150">
        <v>0.6</v>
      </c>
      <c r="C416" s="159">
        <v>0.2231404958677686</v>
      </c>
      <c r="D416" s="152">
        <v>171666666.66666669</v>
      </c>
      <c r="E416" s="26">
        <f>VLOOKUP(2359,季財報!$A:$H,8,0)</f>
        <v>2</v>
      </c>
      <c r="F416" s="159">
        <v>-1.624999999999998E-3</v>
      </c>
      <c r="G416" s="152">
        <v>2463416666.666667</v>
      </c>
      <c r="H416" s="152">
        <v>4501198000</v>
      </c>
      <c r="I416" s="150">
        <v>0.53753903026875172</v>
      </c>
      <c r="J416" s="152">
        <v>26.795524691358022</v>
      </c>
    </row>
    <row r="417" spans="1:10" hidden="1">
      <c r="A417" s="64">
        <v>3557</v>
      </c>
      <c r="B417" s="150">
        <v>-0.1</v>
      </c>
      <c r="C417" s="159">
        <v>1</v>
      </c>
      <c r="D417" s="152">
        <v>110000000</v>
      </c>
      <c r="E417" s="26">
        <f>VLOOKUP(3557,季財報!$A:$H,8,0)</f>
        <v>2</v>
      </c>
      <c r="F417" s="159">
        <v>-4.1699999999999994E-2</v>
      </c>
      <c r="G417" s="152">
        <v>412500000</v>
      </c>
      <c r="H417" s="152">
        <v>723983000</v>
      </c>
      <c r="I417" s="150">
        <v>0.53816538441968809</v>
      </c>
      <c r="J417" s="152">
        <v>0</v>
      </c>
    </row>
    <row r="418" spans="1:10" hidden="1">
      <c r="A418" s="64">
        <v>2067</v>
      </c>
      <c r="B418" s="150">
        <v>-0.25</v>
      </c>
      <c r="C418" s="159">
        <v>1</v>
      </c>
      <c r="D418" s="152">
        <v>32000000</v>
      </c>
      <c r="E418" s="26">
        <f>VLOOKUP(2067,季財報!$A:$H,8,0)</f>
        <v>2</v>
      </c>
      <c r="F418" s="159">
        <v>2.616666666666663E-3</v>
      </c>
      <c r="G418" s="152">
        <v>457600000</v>
      </c>
      <c r="H418" s="152">
        <v>838567000</v>
      </c>
      <c r="I418" s="150">
        <v>0.53910959735251951</v>
      </c>
      <c r="J418" s="152">
        <v>0</v>
      </c>
    </row>
    <row r="419" spans="1:10" hidden="1">
      <c r="A419" s="64">
        <v>2615</v>
      </c>
      <c r="B419" s="150">
        <v>0.48</v>
      </c>
      <c r="C419" s="159">
        <v>9.1546006539000468E-2</v>
      </c>
      <c r="D419" s="152">
        <v>2197916666.666667</v>
      </c>
      <c r="E419" s="26">
        <f>VLOOKUP(2615,季財報!$A:$H,8,0)</f>
        <v>2</v>
      </c>
      <c r="F419" s="159">
        <v>-1.3791666666666667E-2</v>
      </c>
      <c r="G419" s="152">
        <v>35606250000</v>
      </c>
      <c r="H419" s="152">
        <v>65046286000</v>
      </c>
      <c r="I419" s="150">
        <v>0.53917494274808209</v>
      </c>
      <c r="J419" s="152">
        <v>50</v>
      </c>
    </row>
    <row r="420" spans="1:10" hidden="1">
      <c r="A420" s="64">
        <v>6266</v>
      </c>
      <c r="B420" s="52">
        <v>0.23</v>
      </c>
      <c r="C420" s="160">
        <v>0.5636363636363636</v>
      </c>
      <c r="D420" s="157">
        <v>86956521.739130437</v>
      </c>
      <c r="E420" s="26">
        <f>VLOOKUP(6266,季財報!$A:$H,8,0)</f>
        <v>4</v>
      </c>
      <c r="F420" s="160">
        <v>4.3325000000000002E-2</v>
      </c>
      <c r="G420" s="54">
        <v>1126086956.521739</v>
      </c>
      <c r="H420" s="54">
        <v>2146529000</v>
      </c>
      <c r="I420" s="65">
        <v>0.53973967792670607</v>
      </c>
      <c r="J420" s="162">
        <v>24.973702664796633</v>
      </c>
    </row>
    <row r="421" spans="1:10" hidden="1">
      <c r="A421" s="64">
        <v>8289</v>
      </c>
      <c r="B421" s="52">
        <v>0.54</v>
      </c>
      <c r="C421" s="160">
        <v>0.32727272727272727</v>
      </c>
      <c r="D421" s="157">
        <v>77777777.777777776</v>
      </c>
      <c r="E421" s="26">
        <f>VLOOKUP(8289,季財報!$A:$H,8,0)</f>
        <v>4</v>
      </c>
      <c r="F421" s="160">
        <v>1.9674999999999998E-2</v>
      </c>
      <c r="G421" s="54">
        <v>867222222.22222221</v>
      </c>
      <c r="H421" s="54">
        <v>1602081000</v>
      </c>
      <c r="I421" s="65">
        <v>0.54092797597711484</v>
      </c>
      <c r="J421" s="162">
        <v>15.772890946502057</v>
      </c>
    </row>
    <row r="422" spans="1:10" hidden="1">
      <c r="A422" s="64">
        <v>8111</v>
      </c>
      <c r="B422" s="52">
        <v>-0.11</v>
      </c>
      <c r="C422" s="160">
        <v>1</v>
      </c>
      <c r="D422" s="157">
        <v>109090909.09090909</v>
      </c>
      <c r="E422" s="26">
        <f>VLOOKUP(8111,季財報!$A:$H,8,0)</f>
        <v>2</v>
      </c>
      <c r="F422" s="160">
        <v>1.0716666666666664E-2</v>
      </c>
      <c r="G422" s="54">
        <v>439636363.63636369</v>
      </c>
      <c r="H422" s="54">
        <v>803642000</v>
      </c>
      <c r="I422" s="65">
        <v>0.54230701170669948</v>
      </c>
      <c r="J422" s="162">
        <v>0</v>
      </c>
    </row>
    <row r="423" spans="1:10" hidden="1">
      <c r="A423" s="64">
        <v>4502</v>
      </c>
      <c r="B423" s="52">
        <v>-1.38</v>
      </c>
      <c r="C423" s="160">
        <v>0.72</v>
      </c>
      <c r="D423" s="157">
        <v>27536231.884057973</v>
      </c>
      <c r="E423" s="26">
        <f>VLOOKUP(4502,季財報!$A:$H,8,0)</f>
        <v>3</v>
      </c>
      <c r="F423" s="160">
        <v>0.16991666666666663</v>
      </c>
      <c r="G423" s="54">
        <v>751739130.43478262</v>
      </c>
      <c r="H423" s="54">
        <v>1522980000</v>
      </c>
      <c r="I423" s="65">
        <v>0.54250949391614356</v>
      </c>
      <c r="J423" s="162">
        <v>0</v>
      </c>
    </row>
    <row r="424" spans="1:10" hidden="1">
      <c r="A424" s="64">
        <v>8930</v>
      </c>
      <c r="B424" s="52">
        <v>-0.19</v>
      </c>
      <c r="C424" s="160">
        <v>0.93333333333333335</v>
      </c>
      <c r="D424" s="157">
        <v>68421052.631578952</v>
      </c>
      <c r="E424" s="26">
        <f>VLOOKUP(8930,季財報!$A:$H,8,0)</f>
        <v>1</v>
      </c>
      <c r="F424" s="160">
        <v>3.4691666666666655E-2</v>
      </c>
      <c r="G424" s="54">
        <v>608947368.42105269</v>
      </c>
      <c r="H424" s="54">
        <v>1108046000</v>
      </c>
      <c r="I424" s="65">
        <v>0.54306974940029995</v>
      </c>
      <c r="J424" s="162">
        <v>0</v>
      </c>
    </row>
    <row r="425" spans="1:10" hidden="1">
      <c r="A425" s="64">
        <v>1532</v>
      </c>
      <c r="B425" s="150">
        <v>0.87</v>
      </c>
      <c r="C425" s="159">
        <v>1</v>
      </c>
      <c r="D425" s="152">
        <v>393103448.2758621</v>
      </c>
      <c r="E425" s="26">
        <f>VLOOKUP(1532,季財報!$A:$H,8,0)</f>
        <v>4</v>
      </c>
      <c r="F425" s="159">
        <v>0.13365833333333335</v>
      </c>
      <c r="G425" s="152">
        <v>10220689655.172415</v>
      </c>
      <c r="H425" s="152">
        <v>18958765000</v>
      </c>
      <c r="I425" s="150">
        <v>0.54332126758677468</v>
      </c>
      <c r="J425" s="152">
        <v>7.4712643678160919</v>
      </c>
    </row>
    <row r="426" spans="1:10" hidden="1">
      <c r="A426" s="64">
        <v>8249</v>
      </c>
      <c r="B426" s="52">
        <v>1.1100000000000001</v>
      </c>
      <c r="C426" s="160">
        <v>0.55555555555555558</v>
      </c>
      <c r="D426" s="157">
        <v>127027027.02702701</v>
      </c>
      <c r="E426" s="26">
        <f>VLOOKUP(8249,季財報!$A:$H,8,0)</f>
        <v>4</v>
      </c>
      <c r="F426" s="160">
        <v>2.2066666666666651E-2</v>
      </c>
      <c r="G426" s="54">
        <v>2775540540.5405402</v>
      </c>
      <c r="H426" s="54">
        <v>4975084000</v>
      </c>
      <c r="I426" s="65">
        <v>0.54427667569575711</v>
      </c>
      <c r="J426" s="162">
        <v>8.8581081081081088</v>
      </c>
    </row>
    <row r="427" spans="1:10" hidden="1">
      <c r="A427" s="64">
        <v>6215</v>
      </c>
      <c r="B427" s="52">
        <v>0.16</v>
      </c>
      <c r="C427" s="160">
        <v>1</v>
      </c>
      <c r="D427" s="157">
        <v>81250000</v>
      </c>
      <c r="E427" s="26">
        <f>VLOOKUP(6215,季財報!$A:$H,8,0)</f>
        <v>1</v>
      </c>
      <c r="F427" s="160">
        <v>-8.8666666666666668E-3</v>
      </c>
      <c r="G427" s="54">
        <v>991250000</v>
      </c>
      <c r="H427" s="54">
        <v>1763587000</v>
      </c>
      <c r="I427" s="65">
        <v>0.54631301407159027</v>
      </c>
      <c r="J427" s="162">
        <v>19.0625</v>
      </c>
    </row>
    <row r="428" spans="1:10" hidden="1">
      <c r="A428" s="64">
        <v>3026</v>
      </c>
      <c r="B428" s="150">
        <v>0.82</v>
      </c>
      <c r="C428" s="159">
        <v>0.91869918699186992</v>
      </c>
      <c r="D428" s="152">
        <v>223170731.70731708</v>
      </c>
      <c r="E428" s="26">
        <f>VLOOKUP(3026,季財報!$A:$H,8,0)</f>
        <v>0</v>
      </c>
      <c r="F428" s="159">
        <v>6.933333333333333E-3</v>
      </c>
      <c r="G428" s="152">
        <v>7520853658.5365868</v>
      </c>
      <c r="H428" s="152">
        <v>13627602000</v>
      </c>
      <c r="I428" s="150">
        <v>0.54724141292584383</v>
      </c>
      <c r="J428" s="152">
        <v>11.183628318584072</v>
      </c>
    </row>
    <row r="429" spans="1:10" hidden="1">
      <c r="A429" s="64">
        <v>1905</v>
      </c>
      <c r="B429" s="150">
        <v>0.23</v>
      </c>
      <c r="C429" s="159">
        <v>0.77389277389277389</v>
      </c>
      <c r="D429" s="152">
        <v>1169565217.3913043</v>
      </c>
      <c r="E429" s="26">
        <f>VLOOKUP(1905,季財報!$A:$H,8,0)</f>
        <v>4</v>
      </c>
      <c r="F429" s="159">
        <v>8.8583333333333344E-3</v>
      </c>
      <c r="G429" s="152">
        <v>11602086956.521738</v>
      </c>
      <c r="H429" s="152">
        <v>21159835000</v>
      </c>
      <c r="I429" s="150">
        <v>0.54800397385025779</v>
      </c>
      <c r="J429" s="152">
        <v>13.932949188056574</v>
      </c>
    </row>
    <row r="430" spans="1:10" hidden="1">
      <c r="A430" s="64">
        <v>3632</v>
      </c>
      <c r="B430" s="150">
        <v>1.05</v>
      </c>
      <c r="C430" s="159">
        <v>0.92307692307692313</v>
      </c>
      <c r="D430" s="152">
        <v>30476190.476190474</v>
      </c>
      <c r="E430" s="26">
        <f>VLOOKUP(3632,季財報!$A:$H,8,0)</f>
        <v>4</v>
      </c>
      <c r="F430" s="159">
        <v>4.9675000000000018E-2</v>
      </c>
      <c r="G430" s="152">
        <v>789333333.33333325</v>
      </c>
      <c r="H430" s="152">
        <v>1459419000</v>
      </c>
      <c r="I430" s="150">
        <v>0.54803054992597644</v>
      </c>
      <c r="J430" s="152">
        <v>6.6805555555555545</v>
      </c>
    </row>
    <row r="431" spans="1:10" hidden="1">
      <c r="A431" s="64">
        <v>5523</v>
      </c>
      <c r="B431" s="52">
        <v>-0.2</v>
      </c>
      <c r="C431" s="160">
        <v>0.55319148936170215</v>
      </c>
      <c r="D431" s="157">
        <v>115000000</v>
      </c>
      <c r="E431" s="26">
        <f>VLOOKUP(5523,季財報!$A:$H,8,0)</f>
        <v>0</v>
      </c>
      <c r="F431" s="160">
        <v>155.03254166666667</v>
      </c>
      <c r="G431" s="54">
        <v>897000000</v>
      </c>
      <c r="H431" s="54">
        <v>1633458000</v>
      </c>
      <c r="I431" s="65">
        <v>0.54893978736385896</v>
      </c>
      <c r="J431" s="162">
        <v>0</v>
      </c>
    </row>
    <row r="432" spans="1:10" hidden="1">
      <c r="A432" s="64">
        <v>3437</v>
      </c>
      <c r="B432" s="150">
        <v>0.57999999999999996</v>
      </c>
      <c r="C432" s="159">
        <v>0.83720930232558144</v>
      </c>
      <c r="D432" s="152">
        <v>143103448.27586207</v>
      </c>
      <c r="E432" s="26">
        <f>VLOOKUP(3437,季財報!$A:$H,8,0)</f>
        <v>2</v>
      </c>
      <c r="F432" s="159">
        <v>-1.0083333333333357E-3</v>
      </c>
      <c r="G432" s="152">
        <v>3506034482.7586207</v>
      </c>
      <c r="H432" s="152">
        <v>6296646000</v>
      </c>
      <c r="I432" s="150">
        <v>0.5499963029754289</v>
      </c>
      <c r="J432" s="152">
        <v>12.61374521072797</v>
      </c>
    </row>
    <row r="433" spans="1:10" hidden="1">
      <c r="A433" s="64">
        <v>5521</v>
      </c>
      <c r="B433" s="52">
        <v>-0.1</v>
      </c>
      <c r="C433" s="160">
        <v>1</v>
      </c>
      <c r="D433" s="157">
        <v>340000000</v>
      </c>
      <c r="E433" s="26">
        <f>VLOOKUP(5521,季財報!$A:$H,8,0)</f>
        <v>0</v>
      </c>
      <c r="F433" s="160">
        <v>2.1375000000000009E-2</v>
      </c>
      <c r="G433" s="54">
        <v>3722999999.9999995</v>
      </c>
      <c r="H433" s="54">
        <v>6663935000</v>
      </c>
      <c r="I433" s="65">
        <v>0.55273546152074848</v>
      </c>
      <c r="J433" s="162">
        <v>0</v>
      </c>
    </row>
    <row r="434" spans="1:10" hidden="1">
      <c r="A434" s="64">
        <v>3652</v>
      </c>
      <c r="B434" s="150">
        <v>0.03</v>
      </c>
      <c r="C434" s="159">
        <v>0.66666666666666663</v>
      </c>
      <c r="D434" s="152">
        <v>66666666.666666672</v>
      </c>
      <c r="E434" s="26">
        <f>VLOOKUP(3652,季財報!$A:$H,8,0)</f>
        <v>1</v>
      </c>
      <c r="F434" s="159">
        <v>5.1241666666666665E-2</v>
      </c>
      <c r="G434" s="152">
        <v>1110000000</v>
      </c>
      <c r="H434" s="152">
        <v>2037824000</v>
      </c>
      <c r="I434" s="150">
        <v>0.55319520065785377</v>
      </c>
      <c r="J434" s="152">
        <v>50</v>
      </c>
    </row>
    <row r="435" spans="1:10" hidden="1">
      <c r="A435" s="64">
        <v>8176</v>
      </c>
      <c r="B435" s="52">
        <v>0.19</v>
      </c>
      <c r="C435" s="160">
        <v>1</v>
      </c>
      <c r="D435" s="157">
        <v>78947368.421052635</v>
      </c>
      <c r="E435" s="26">
        <f>VLOOKUP(8176,季財報!$A:$H,8,0)</f>
        <v>5</v>
      </c>
      <c r="F435" s="160">
        <v>0.10628333333333334</v>
      </c>
      <c r="G435" s="54">
        <v>682894736.84210527</v>
      </c>
      <c r="H435" s="54">
        <v>1279837000</v>
      </c>
      <c r="I435" s="65">
        <v>0.55409663607611948</v>
      </c>
      <c r="J435" s="162">
        <v>11.381578947368421</v>
      </c>
    </row>
    <row r="436" spans="1:10" hidden="1">
      <c r="A436" s="64">
        <v>5701</v>
      </c>
      <c r="B436" s="52">
        <v>-0.42</v>
      </c>
      <c r="C436" s="160">
        <v>0.91836734693877553</v>
      </c>
      <c r="D436" s="157">
        <v>259523809.52380952</v>
      </c>
      <c r="E436" s="26">
        <f>VLOOKUP(5701,季財報!$A:$H,8,0)</f>
        <v>2</v>
      </c>
      <c r="F436" s="160">
        <v>1.24E-2</v>
      </c>
      <c r="G436" s="54">
        <v>861619047.61904752</v>
      </c>
      <c r="H436" s="54">
        <v>1541899000</v>
      </c>
      <c r="I436" s="65">
        <v>0.55693568531699422</v>
      </c>
      <c r="J436" s="162">
        <v>0</v>
      </c>
    </row>
    <row r="437" spans="1:10" hidden="1">
      <c r="A437" s="64">
        <v>1454</v>
      </c>
      <c r="B437" s="150">
        <v>0.19</v>
      </c>
      <c r="C437" s="159">
        <v>0.69841269841269837</v>
      </c>
      <c r="D437" s="152">
        <v>131578947.36842105</v>
      </c>
      <c r="E437" s="26">
        <f>VLOOKUP(1454,季財報!$A:$H,8,0)</f>
        <v>1</v>
      </c>
      <c r="F437" s="159">
        <v>1.0566666666666669E-2</v>
      </c>
      <c r="G437" s="152">
        <v>1173684210.5263157</v>
      </c>
      <c r="H437" s="152">
        <v>2099933000</v>
      </c>
      <c r="I437" s="150">
        <v>0.55721075189868929</v>
      </c>
      <c r="J437" s="152">
        <v>16.805023923444974</v>
      </c>
    </row>
    <row r="438" spans="1:10" hidden="1">
      <c r="A438" s="64">
        <v>1592</v>
      </c>
      <c r="B438" s="150">
        <v>0.87</v>
      </c>
      <c r="C438" s="159">
        <v>1</v>
      </c>
      <c r="D438" s="152">
        <v>100000000</v>
      </c>
      <c r="E438" s="26">
        <f>VLOOKUP(1592,季財報!$A:$H,8,0)</f>
        <v>3</v>
      </c>
      <c r="F438" s="159">
        <v>2.3133333333333336E-2</v>
      </c>
      <c r="G438" s="152">
        <v>2820000000</v>
      </c>
      <c r="H438" s="152">
        <v>5093821000</v>
      </c>
      <c r="I438" s="150">
        <v>0.55931684009786065</v>
      </c>
      <c r="J438" s="152">
        <v>8.1034482758620694</v>
      </c>
    </row>
    <row r="439" spans="1:10" hidden="1">
      <c r="A439" s="64">
        <v>4927</v>
      </c>
      <c r="B439" s="52">
        <v>2.02</v>
      </c>
      <c r="C439" s="160">
        <v>1</v>
      </c>
      <c r="D439" s="157">
        <v>122772277.22772276</v>
      </c>
      <c r="E439" s="26">
        <f>VLOOKUP(4927,季財報!$A:$H,8,0)</f>
        <v>3</v>
      </c>
      <c r="F439" s="160">
        <v>1.6791666666666667E-2</v>
      </c>
      <c r="G439" s="54">
        <v>4788118811.8811874</v>
      </c>
      <c r="H439" s="54">
        <v>8614993000</v>
      </c>
      <c r="I439" s="65">
        <v>0.55957899525821009</v>
      </c>
      <c r="J439" s="162">
        <v>4.826732673267327</v>
      </c>
    </row>
    <row r="440" spans="1:10" hidden="1">
      <c r="A440" s="64">
        <v>5515</v>
      </c>
      <c r="B440" s="52">
        <v>-0.18</v>
      </c>
      <c r="C440" s="160">
        <v>0.39285714285714285</v>
      </c>
      <c r="D440" s="157">
        <v>344444444.44444448</v>
      </c>
      <c r="E440" s="26">
        <f>VLOOKUP(5515,季財報!$A:$H,8,0)</f>
        <v>1</v>
      </c>
      <c r="F440" s="160">
        <v>-3.4666666666666661E-3</v>
      </c>
      <c r="G440" s="54">
        <v>2955333333.3333335</v>
      </c>
      <c r="H440" s="54">
        <v>5090226000</v>
      </c>
      <c r="I440" s="65">
        <v>0.56052032673289987</v>
      </c>
      <c r="J440" s="162">
        <v>0</v>
      </c>
    </row>
    <row r="441" spans="1:10" hidden="1">
      <c r="A441" s="64">
        <v>2351</v>
      </c>
      <c r="B441" s="150">
        <v>1.0900000000000001</v>
      </c>
      <c r="C441" s="159">
        <v>0.87187499999999996</v>
      </c>
      <c r="D441" s="152">
        <v>182568807.33944952</v>
      </c>
      <c r="E441" s="26">
        <f>VLOOKUP(2351,季財報!$A:$H,8,0)</f>
        <v>2</v>
      </c>
      <c r="F441" s="159">
        <v>-5.7083333333333335E-3</v>
      </c>
      <c r="G441" s="152">
        <v>5048027522.9357796</v>
      </c>
      <c r="H441" s="152">
        <v>8858646000</v>
      </c>
      <c r="I441" s="150">
        <v>0.56411183466604542</v>
      </c>
      <c r="J441" s="152">
        <v>7.2736838643911739</v>
      </c>
    </row>
    <row r="442" spans="1:10" hidden="1">
      <c r="A442" s="64">
        <v>1333</v>
      </c>
      <c r="B442" s="150">
        <v>0.02</v>
      </c>
      <c r="C442" s="159">
        <v>1</v>
      </c>
      <c r="D442" s="152">
        <v>100000000</v>
      </c>
      <c r="E442" s="26">
        <f>VLOOKUP(1333,季財報!$A:$H,8,0)</f>
        <v>3</v>
      </c>
      <c r="F442" s="159">
        <v>-2.554166666666666E-2</v>
      </c>
      <c r="G442" s="152">
        <v>515000000.00000006</v>
      </c>
      <c r="H442" s="152">
        <v>877224000</v>
      </c>
      <c r="I442" s="150">
        <v>0.56499840374237398</v>
      </c>
      <c r="J442" s="152">
        <v>50</v>
      </c>
    </row>
    <row r="443" spans="1:10" hidden="1">
      <c r="A443" s="64">
        <v>8155</v>
      </c>
      <c r="B443" s="52">
        <v>0.33</v>
      </c>
      <c r="C443" s="160">
        <v>0.5</v>
      </c>
      <c r="D443" s="157">
        <v>51515151.515151516</v>
      </c>
      <c r="E443" s="26">
        <f>VLOOKUP(8155,季財報!$A:$H,8,0)</f>
        <v>3</v>
      </c>
      <c r="F443" s="160">
        <v>-1.654166666666667E-2</v>
      </c>
      <c r="G443" s="54">
        <v>909242424.24242413</v>
      </c>
      <c r="H443" s="54">
        <v>1568151000</v>
      </c>
      <c r="I443" s="65">
        <v>0.56660573648605184</v>
      </c>
      <c r="J443" s="162">
        <v>26.742424242424239</v>
      </c>
    </row>
    <row r="444" spans="1:10" hidden="1">
      <c r="A444" s="64">
        <v>8110</v>
      </c>
      <c r="B444" s="52">
        <v>0.31</v>
      </c>
      <c r="C444" s="160">
        <v>0</v>
      </c>
      <c r="D444" s="157">
        <v>487096774.19354838</v>
      </c>
      <c r="E444" s="26">
        <f>VLOOKUP(8110,季財報!$A:$H,8,0)</f>
        <v>4</v>
      </c>
      <c r="F444" s="160">
        <v>-9.1833333333333315E-3</v>
      </c>
      <c r="G444" s="54">
        <v>4544612903.2258062</v>
      </c>
      <c r="H444" s="54">
        <v>7917286000</v>
      </c>
      <c r="I444" s="65">
        <v>0.56694385907279832</v>
      </c>
      <c r="J444" s="162">
        <v>0</v>
      </c>
    </row>
    <row r="445" spans="1:10" hidden="1">
      <c r="A445" s="64">
        <v>2903</v>
      </c>
      <c r="B445" s="150">
        <v>0.51</v>
      </c>
      <c r="C445" s="159">
        <v>0.33487833140208573</v>
      </c>
      <c r="D445" s="152">
        <v>1427450980.3921568</v>
      </c>
      <c r="E445" s="26">
        <f>VLOOKUP(2903,季財報!$A:$H,8,0)</f>
        <v>2</v>
      </c>
      <c r="F445" s="159">
        <v>1.3091666666666673E-2</v>
      </c>
      <c r="G445" s="152">
        <v>25694117647.058823</v>
      </c>
      <c r="H445" s="152">
        <v>45073675000</v>
      </c>
      <c r="I445" s="150">
        <v>0.56920814362807193</v>
      </c>
      <c r="J445" s="152">
        <v>26.348463260736821</v>
      </c>
    </row>
    <row r="446" spans="1:10" hidden="1">
      <c r="A446" s="64">
        <v>4550</v>
      </c>
      <c r="B446" s="52">
        <v>0.22</v>
      </c>
      <c r="C446" s="160">
        <v>0.95652173913043481</v>
      </c>
      <c r="D446" s="157">
        <v>31818181.818181816</v>
      </c>
      <c r="E446" s="26">
        <f>VLOOKUP(4550,季財報!$A:$H,8,0)</f>
        <v>1</v>
      </c>
      <c r="F446" s="160">
        <v>-2.8608333333333333E-2</v>
      </c>
      <c r="G446" s="54">
        <v>655454545.4545455</v>
      </c>
      <c r="H446" s="54">
        <v>1106632000</v>
      </c>
      <c r="I446" s="65">
        <v>0.56945192897694452</v>
      </c>
      <c r="J446" s="162">
        <v>24.473140495867767</v>
      </c>
    </row>
    <row r="447" spans="1:10" hidden="1">
      <c r="A447" s="64">
        <v>3149</v>
      </c>
      <c r="B447" s="150">
        <v>-2.1</v>
      </c>
      <c r="C447" s="159">
        <v>0.28907563025210087</v>
      </c>
      <c r="D447" s="152">
        <v>268571428.57142854</v>
      </c>
      <c r="E447" s="26">
        <f>VLOOKUP(3149,季財報!$A:$H,8,0)</f>
        <v>3</v>
      </c>
      <c r="F447" s="159">
        <v>3.3016666666666659E-2</v>
      </c>
      <c r="G447" s="152">
        <v>3383999999.9999995</v>
      </c>
      <c r="H447" s="152">
        <v>5794617000</v>
      </c>
      <c r="I447" s="150">
        <v>0.57276289038090078</v>
      </c>
      <c r="J447" s="152">
        <v>0</v>
      </c>
    </row>
    <row r="448" spans="1:10" hidden="1">
      <c r="A448" s="64">
        <v>6285</v>
      </c>
      <c r="B448" s="52">
        <v>1.83</v>
      </c>
      <c r="C448" s="160">
        <v>0.78621378621378624</v>
      </c>
      <c r="D448" s="157">
        <v>330601092.89617485</v>
      </c>
      <c r="E448" s="26">
        <f>VLOOKUP(6285,季財報!$A:$H,8,0)</f>
        <v>4</v>
      </c>
      <c r="F448" s="160">
        <v>2.785E-2</v>
      </c>
      <c r="G448" s="54">
        <v>28630054644.808739</v>
      </c>
      <c r="H448" s="54">
        <v>51120386000</v>
      </c>
      <c r="I448" s="65">
        <v>0.57284041416440434</v>
      </c>
      <c r="J448" s="162">
        <v>15.047562508245324</v>
      </c>
    </row>
    <row r="449" spans="1:10" hidden="1">
      <c r="A449" s="64">
        <v>6209</v>
      </c>
      <c r="B449" s="52">
        <v>-0.25</v>
      </c>
      <c r="C449" s="160">
        <v>0.43243243243243246</v>
      </c>
      <c r="D449" s="157">
        <v>164000000</v>
      </c>
      <c r="E449" s="26">
        <f>VLOOKUP(6209,季財報!$A:$H,8,0)</f>
        <v>0</v>
      </c>
      <c r="F449" s="160">
        <v>1.5975E-2</v>
      </c>
      <c r="G449" s="54">
        <v>2394400000</v>
      </c>
      <c r="H449" s="54">
        <v>4163542000</v>
      </c>
      <c r="I449" s="65">
        <v>0.5758350799096229</v>
      </c>
      <c r="J449" s="162">
        <v>0</v>
      </c>
    </row>
    <row r="450" spans="1:10" hidden="1">
      <c r="A450" s="64">
        <v>3305</v>
      </c>
      <c r="B450" s="150">
        <v>0.3</v>
      </c>
      <c r="C450" s="159">
        <v>1</v>
      </c>
      <c r="D450" s="152">
        <v>120000000</v>
      </c>
      <c r="E450" s="26">
        <f>VLOOKUP(3305,季財報!$A:$H,8,0)</f>
        <v>2</v>
      </c>
      <c r="F450" s="159">
        <v>-1.2191666666666668E-2</v>
      </c>
      <c r="G450" s="152">
        <v>2802000000</v>
      </c>
      <c r="H450" s="152">
        <v>4766746000</v>
      </c>
      <c r="I450" s="150">
        <v>0.57786218626176988</v>
      </c>
      <c r="J450" s="152">
        <v>19.458333333333336</v>
      </c>
    </row>
    <row r="451" spans="1:10" hidden="1">
      <c r="A451" s="64">
        <v>2109</v>
      </c>
      <c r="B451" s="150">
        <v>0.02</v>
      </c>
      <c r="C451" s="159">
        <v>1</v>
      </c>
      <c r="D451" s="152">
        <v>350000000</v>
      </c>
      <c r="E451" s="26">
        <f>VLOOKUP(2109,季財報!$A:$H,8,0)</f>
        <v>1</v>
      </c>
      <c r="F451" s="159">
        <v>-1.158333333333333E-3</v>
      </c>
      <c r="G451" s="152">
        <v>3867500000.0000005</v>
      </c>
      <c r="H451" s="152">
        <v>6612870000</v>
      </c>
      <c r="I451" s="150">
        <v>0.57812826061349321</v>
      </c>
      <c r="J451" s="152">
        <v>50</v>
      </c>
    </row>
    <row r="452" spans="1:10" hidden="1">
      <c r="A452" s="64">
        <v>2724</v>
      </c>
      <c r="B452" s="150">
        <v>-1.72</v>
      </c>
      <c r="C452" s="159">
        <v>0.88461538461538458</v>
      </c>
      <c r="D452" s="152">
        <v>38372093.023255818</v>
      </c>
      <c r="E452" s="26">
        <f>VLOOKUP(2724,季財報!$A:$H,8,0)</f>
        <v>3</v>
      </c>
      <c r="F452" s="159">
        <v>2.1416666666666667E-3</v>
      </c>
      <c r="G452" s="152">
        <v>541046511.62790704</v>
      </c>
      <c r="H452" s="152">
        <v>921255000</v>
      </c>
      <c r="I452" s="150">
        <v>0.57888844957673846</v>
      </c>
      <c r="J452" s="152">
        <v>0</v>
      </c>
    </row>
    <row r="453" spans="1:10" hidden="1">
      <c r="A453" s="64">
        <v>5243</v>
      </c>
      <c r="B453" s="52">
        <v>0.46</v>
      </c>
      <c r="C453" s="160">
        <v>0.52903225806451615</v>
      </c>
      <c r="D453" s="157">
        <v>176086956.52173913</v>
      </c>
      <c r="E453" s="26">
        <f>VLOOKUP(5243,季財報!$A:$H,8,0)</f>
        <v>1</v>
      </c>
      <c r="F453" s="160">
        <v>-6.6999999999999985E-3</v>
      </c>
      <c r="G453" s="54">
        <v>4992065217.391304</v>
      </c>
      <c r="H453" s="54">
        <v>8454552000</v>
      </c>
      <c r="I453" s="65">
        <v>0.58045042659889845</v>
      </c>
      <c r="J453" s="162">
        <v>29.124138388123011</v>
      </c>
    </row>
    <row r="454" spans="1:10" hidden="1">
      <c r="A454" s="64">
        <v>4755</v>
      </c>
      <c r="B454" s="52">
        <v>0.68</v>
      </c>
      <c r="C454" s="160">
        <v>0.68224299065420557</v>
      </c>
      <c r="D454" s="157">
        <v>89705882.35294117</v>
      </c>
      <c r="E454" s="26">
        <f>VLOOKUP(4755,季財報!$A:$H,8,0)</f>
        <v>3</v>
      </c>
      <c r="F454" s="160">
        <v>1.3366666666666664E-2</v>
      </c>
      <c r="G454" s="54">
        <v>2000441176.4705882</v>
      </c>
      <c r="H454" s="54">
        <v>3454674000</v>
      </c>
      <c r="I454" s="65">
        <v>0.58094653551126341</v>
      </c>
      <c r="J454" s="162">
        <v>12.017022562449638</v>
      </c>
    </row>
    <row r="455" spans="1:10" hidden="1">
      <c r="A455" s="64">
        <v>2206</v>
      </c>
      <c r="B455" s="150">
        <v>3.44</v>
      </c>
      <c r="C455" s="159">
        <v>0</v>
      </c>
      <c r="D455" s="152">
        <v>889534883.72093022</v>
      </c>
      <c r="E455" s="26">
        <f>VLOOKUP(2206,季財報!$A:$H,8,0)</f>
        <v>2</v>
      </c>
      <c r="F455" s="159">
        <v>1.3241666666666664E-2</v>
      </c>
      <c r="G455" s="152">
        <v>20281395348.837208</v>
      </c>
      <c r="H455" s="152">
        <v>34454976000</v>
      </c>
      <c r="I455" s="150">
        <v>0.5827942622288349</v>
      </c>
      <c r="J455" s="152">
        <v>0</v>
      </c>
    </row>
    <row r="456" spans="1:10" hidden="1">
      <c r="A456" s="64">
        <v>3206</v>
      </c>
      <c r="B456" s="150">
        <v>0.67</v>
      </c>
      <c r="C456" s="159">
        <v>0.7846153846153846</v>
      </c>
      <c r="D456" s="152">
        <v>43283582.089552239</v>
      </c>
      <c r="E456" s="26">
        <f>VLOOKUP(3206,季財報!$A:$H,8,0)</f>
        <v>0</v>
      </c>
      <c r="F456" s="159">
        <v>3.206666666666666E-2</v>
      </c>
      <c r="G456" s="152">
        <v>911119402.98507464</v>
      </c>
      <c r="H456" s="152">
        <v>1564520000</v>
      </c>
      <c r="I456" s="150">
        <v>0.58353469558023974</v>
      </c>
      <c r="J456" s="152">
        <v>10.010608721100381</v>
      </c>
    </row>
    <row r="457" spans="1:10" hidden="1">
      <c r="A457" s="64">
        <v>2385</v>
      </c>
      <c r="B457" s="150">
        <v>1.25</v>
      </c>
      <c r="C457" s="159">
        <v>0.78403001071811362</v>
      </c>
      <c r="D457" s="152">
        <v>664800000</v>
      </c>
      <c r="E457" s="26">
        <f>VLOOKUP(2385,季財報!$A:$H,8,0)</f>
        <v>1</v>
      </c>
      <c r="F457" s="159">
        <v>2.216666666666665E-3</v>
      </c>
      <c r="G457" s="152">
        <v>48463920000</v>
      </c>
      <c r="H457" s="152">
        <v>82073849000</v>
      </c>
      <c r="I457" s="150">
        <v>0.58505753302594499</v>
      </c>
      <c r="J457" s="152">
        <v>18.596226930963773</v>
      </c>
    </row>
    <row r="458" spans="1:10" hidden="1">
      <c r="A458" s="64">
        <v>3059</v>
      </c>
      <c r="B458" s="155">
        <v>0.73</v>
      </c>
      <c r="C458" s="159">
        <v>0.89495798319327735</v>
      </c>
      <c r="D458" s="156">
        <v>269863013.69863015</v>
      </c>
      <c r="E458" s="26">
        <f>VLOOKUP(3059,季財報!$A:$H,8,0)</f>
        <v>3</v>
      </c>
      <c r="F458" s="159">
        <v>5.1833333333333315E-3</v>
      </c>
      <c r="G458" s="156">
        <v>7502191780.8219185</v>
      </c>
      <c r="H458" s="156">
        <v>12645527000</v>
      </c>
      <c r="I458" s="155">
        <v>0.58678660893814738</v>
      </c>
      <c r="J458" s="156">
        <v>10.637983150041803</v>
      </c>
    </row>
    <row r="459" spans="1:10" hidden="1">
      <c r="A459" s="64">
        <v>4716</v>
      </c>
      <c r="B459" s="52">
        <v>0.14000000000000001</v>
      </c>
      <c r="C459" s="160">
        <v>0.46666666666666667</v>
      </c>
      <c r="D459" s="157">
        <v>71428571.428571418</v>
      </c>
      <c r="E459" s="26">
        <f>VLOOKUP(4716,季財報!$A:$H,8,0)</f>
        <v>2</v>
      </c>
      <c r="F459" s="160">
        <v>3.4791666666666672E-2</v>
      </c>
      <c r="G459" s="54">
        <v>657142857.14285696</v>
      </c>
      <c r="H459" s="54">
        <v>1101253000</v>
      </c>
      <c r="I459" s="65">
        <v>0.58792313850753397</v>
      </c>
      <c r="J459" s="162">
        <v>35.204081632653057</v>
      </c>
    </row>
    <row r="460" spans="1:10" hidden="1">
      <c r="A460" s="64">
        <v>8929</v>
      </c>
      <c r="B460" s="52">
        <v>0.17</v>
      </c>
      <c r="C460" s="160">
        <v>1</v>
      </c>
      <c r="D460" s="157">
        <v>35294117.647058822</v>
      </c>
      <c r="E460" s="26">
        <f>VLOOKUP(8929,季財報!$A:$H,8,0)</f>
        <v>1</v>
      </c>
      <c r="F460" s="160">
        <v>2.4366666666666672E-2</v>
      </c>
      <c r="G460" s="54">
        <v>792352941.17647052</v>
      </c>
      <c r="H460" s="54">
        <v>1352573000</v>
      </c>
      <c r="I460" s="65">
        <v>0.59133993854630285</v>
      </c>
      <c r="J460" s="162">
        <v>33.014705882352935</v>
      </c>
    </row>
    <row r="461" spans="1:10" hidden="1">
      <c r="A461" s="64">
        <v>4722</v>
      </c>
      <c r="B461" s="52">
        <v>1.31</v>
      </c>
      <c r="C461" s="160">
        <v>0.78306878306878303</v>
      </c>
      <c r="D461" s="157">
        <v>88549618.320610687</v>
      </c>
      <c r="E461" s="26">
        <f>VLOOKUP(4722,季財報!$A:$H,8,0)</f>
        <v>3</v>
      </c>
      <c r="F461" s="160">
        <v>3.2250000000000035E-3</v>
      </c>
      <c r="G461" s="54">
        <v>2745038167.9389315</v>
      </c>
      <c r="H461" s="54">
        <v>4586277000</v>
      </c>
      <c r="I461" s="65">
        <v>0.59169231736230277</v>
      </c>
      <c r="J461" s="162">
        <v>7.5549308850835573</v>
      </c>
    </row>
    <row r="462" spans="1:10" hidden="1">
      <c r="A462" s="64">
        <v>6290</v>
      </c>
      <c r="B462" s="52">
        <v>0.78</v>
      </c>
      <c r="C462" s="160">
        <v>0.18390804597701149</v>
      </c>
      <c r="D462" s="157">
        <v>134615384.61538461</v>
      </c>
      <c r="E462" s="26">
        <f>VLOOKUP(6290,季財報!$A:$H,8,0)</f>
        <v>1</v>
      </c>
      <c r="F462" s="160">
        <v>3.4666666666666672E-2</v>
      </c>
      <c r="G462" s="54">
        <v>4267307692.3076921</v>
      </c>
      <c r="H462" s="54">
        <v>7403466000</v>
      </c>
      <c r="I462" s="65">
        <v>0.59240146740433064</v>
      </c>
      <c r="J462" s="162">
        <v>50</v>
      </c>
    </row>
    <row r="463" spans="1:10" hidden="1">
      <c r="A463" s="64">
        <v>6282</v>
      </c>
      <c r="B463" s="52">
        <v>0.56000000000000005</v>
      </c>
      <c r="C463" s="160">
        <v>0.53417721518987338</v>
      </c>
      <c r="D463" s="157">
        <v>519642857.14285707</v>
      </c>
      <c r="E463" s="26">
        <f>VLOOKUP(6282,季財報!$A:$H,8,0)</f>
        <v>3</v>
      </c>
      <c r="F463" s="160">
        <v>4.7750000000000041E-3</v>
      </c>
      <c r="G463" s="54">
        <v>12627321428.571426</v>
      </c>
      <c r="H463" s="54">
        <v>21191623000</v>
      </c>
      <c r="I463" s="65">
        <v>0.59287299204172317</v>
      </c>
      <c r="J463" s="162">
        <v>20.308268449559918</v>
      </c>
    </row>
    <row r="464" spans="1:10" hidden="1">
      <c r="A464" s="64">
        <v>4711</v>
      </c>
      <c r="B464" s="52">
        <v>0.28000000000000003</v>
      </c>
      <c r="C464" s="160">
        <v>0.85</v>
      </c>
      <c r="D464" s="157">
        <v>60714285.714285709</v>
      </c>
      <c r="E464" s="26">
        <f>VLOOKUP(4711,季財報!$A:$H,8,0)</f>
        <v>3</v>
      </c>
      <c r="F464" s="160">
        <v>1.7691666666666672E-2</v>
      </c>
      <c r="G464" s="54">
        <v>725535714.28571415</v>
      </c>
      <c r="H464" s="54">
        <v>1219665000</v>
      </c>
      <c r="I464" s="65">
        <v>0.59308597507421523</v>
      </c>
      <c r="J464" s="162">
        <v>12.55252100840336</v>
      </c>
    </row>
    <row r="465" spans="1:10" hidden="1">
      <c r="A465" s="64">
        <v>8059</v>
      </c>
      <c r="B465" s="52">
        <v>0.19</v>
      </c>
      <c r="C465" s="160">
        <v>0.5636363636363636</v>
      </c>
      <c r="D465" s="157">
        <v>94736842.105263159</v>
      </c>
      <c r="E465" s="26">
        <f>VLOOKUP(8059,季財報!$A:$H,8,0)</f>
        <v>1</v>
      </c>
      <c r="F465" s="160">
        <v>0.1014</v>
      </c>
      <c r="G465" s="54">
        <v>1141578947.3684211</v>
      </c>
      <c r="H465" s="54">
        <v>1859353000</v>
      </c>
      <c r="I465" s="65">
        <v>0.59557429809962648</v>
      </c>
      <c r="J465" s="162">
        <v>28.130305602716472</v>
      </c>
    </row>
    <row r="466" spans="1:10" hidden="1">
      <c r="A466" s="64">
        <v>3607</v>
      </c>
      <c r="B466" s="150">
        <v>1.39</v>
      </c>
      <c r="C466" s="159">
        <v>0.86173633440514474</v>
      </c>
      <c r="D466" s="152">
        <v>123741007.19424461</v>
      </c>
      <c r="E466" s="26">
        <f>VLOOKUP(3607,季財報!$A:$H,8,0)</f>
        <v>2</v>
      </c>
      <c r="F466" s="159">
        <v>-3.6166666666666695E-3</v>
      </c>
      <c r="G466" s="152">
        <v>6273669064.7482023</v>
      </c>
      <c r="H466" s="152">
        <v>10191149000</v>
      </c>
      <c r="I466" s="150">
        <v>0.59577515440480477</v>
      </c>
      <c r="J466" s="152">
        <v>10.581780843981532</v>
      </c>
    </row>
    <row r="467" spans="1:10" hidden="1">
      <c r="A467" s="64">
        <v>2429</v>
      </c>
      <c r="B467" s="150">
        <v>-0.45</v>
      </c>
      <c r="C467" s="159">
        <v>1</v>
      </c>
      <c r="D467" s="152">
        <v>35555555.555555552</v>
      </c>
      <c r="E467" s="26">
        <f>VLOOKUP(2429,季財報!$A:$H,8,0)</f>
        <v>3</v>
      </c>
      <c r="F467" s="159">
        <v>2.5241666666666666E-2</v>
      </c>
      <c r="G467" s="152">
        <v>439111111.11111104</v>
      </c>
      <c r="H467" s="152">
        <v>741307000</v>
      </c>
      <c r="I467" s="150">
        <v>0.59896293931968891</v>
      </c>
      <c r="J467" s="152">
        <v>0</v>
      </c>
    </row>
    <row r="468" spans="1:10" hidden="1">
      <c r="A468" s="64">
        <v>1604</v>
      </c>
      <c r="B468" s="150">
        <v>0.26</v>
      </c>
      <c r="C468" s="159">
        <v>0.33950617283950618</v>
      </c>
      <c r="D468" s="152">
        <v>500000000</v>
      </c>
      <c r="E468" s="26">
        <f>VLOOKUP(1604,季財報!$A:$H,8,0)</f>
        <v>1</v>
      </c>
      <c r="F468" s="159">
        <v>3.8675000000000008E-2</v>
      </c>
      <c r="G468" s="152">
        <v>5850000000</v>
      </c>
      <c r="H468" s="152">
        <v>9863644000</v>
      </c>
      <c r="I468" s="150">
        <v>0.5994290975794746</v>
      </c>
      <c r="J468" s="152">
        <v>33.136363636363633</v>
      </c>
    </row>
    <row r="469" spans="1:10" hidden="1">
      <c r="A469" s="64">
        <v>3622</v>
      </c>
      <c r="B469" s="150">
        <v>-1.32</v>
      </c>
      <c r="C469" s="159">
        <v>0.98102466793168885</v>
      </c>
      <c r="D469" s="152">
        <v>151515151.5151515</v>
      </c>
      <c r="E469" s="26">
        <f>VLOOKUP(3622,季財報!$A:$H,8,0)</f>
        <v>2</v>
      </c>
      <c r="F469" s="159">
        <v>-1.7841666666666655E-2</v>
      </c>
      <c r="G469" s="152">
        <v>1621212121.212121</v>
      </c>
      <c r="H469" s="152">
        <v>2492629000</v>
      </c>
      <c r="I469" s="150">
        <v>0.59971261995443415</v>
      </c>
      <c r="J469" s="152">
        <v>0</v>
      </c>
    </row>
    <row r="470" spans="1:10" hidden="1">
      <c r="A470" s="64">
        <v>3284</v>
      </c>
      <c r="B470" s="150">
        <v>1.26</v>
      </c>
      <c r="C470" s="159">
        <v>4.3478260869565216E-2</v>
      </c>
      <c r="D470" s="152">
        <v>57142857.142857142</v>
      </c>
      <c r="E470" s="26">
        <f>VLOOKUP(3284,季財報!$A:$H,8,0)</f>
        <v>4</v>
      </c>
      <c r="F470" s="159">
        <v>-1.1066666666666667E-2</v>
      </c>
      <c r="G470" s="152">
        <v>552000000</v>
      </c>
      <c r="H470" s="152">
        <v>901411000</v>
      </c>
      <c r="I470" s="150">
        <v>0.59994131008923035</v>
      </c>
      <c r="J470" s="152">
        <v>44.083333333333336</v>
      </c>
    </row>
    <row r="471" spans="1:10" hidden="1">
      <c r="A471" s="64">
        <v>1402</v>
      </c>
      <c r="B471" s="150">
        <v>0.15</v>
      </c>
      <c r="C471" s="159">
        <v>0.56670416197975249</v>
      </c>
      <c r="D471" s="152">
        <v>5160000000</v>
      </c>
      <c r="E471" s="26">
        <f>VLOOKUP(1402,季財報!$A:$H,8,0)</f>
        <v>1</v>
      </c>
      <c r="F471" s="159">
        <v>-2.0833333333333342E-3</v>
      </c>
      <c r="G471" s="152">
        <v>132612000000</v>
      </c>
      <c r="H471" s="152">
        <v>219229457000</v>
      </c>
      <c r="I471" s="150">
        <v>0.60148231291076393</v>
      </c>
      <c r="J471" s="152">
        <v>50</v>
      </c>
    </row>
    <row r="472" spans="1:10" hidden="1">
      <c r="A472" s="64">
        <v>3441</v>
      </c>
      <c r="B472" s="150">
        <v>0.23</v>
      </c>
      <c r="C472" s="159">
        <v>1</v>
      </c>
      <c r="D472" s="152">
        <v>39130434.782608695</v>
      </c>
      <c r="E472" s="26">
        <f>VLOOKUP(3441,季財報!$A:$H,8,0)</f>
        <v>2</v>
      </c>
      <c r="F472" s="159">
        <v>1.8458333333333323E-2</v>
      </c>
      <c r="G472" s="152">
        <v>442173913.04347831</v>
      </c>
      <c r="H472" s="152">
        <v>687837000</v>
      </c>
      <c r="I472" s="150">
        <v>0.60309299533874949</v>
      </c>
      <c r="J472" s="152">
        <v>12.282608695652174</v>
      </c>
    </row>
    <row r="473" spans="1:10" hidden="1">
      <c r="A473" s="64">
        <v>5438</v>
      </c>
      <c r="B473" s="52">
        <v>1.1100000000000001</v>
      </c>
      <c r="C473" s="160">
        <v>0.50314465408805031</v>
      </c>
      <c r="D473" s="157">
        <v>112612612.61261261</v>
      </c>
      <c r="E473" s="26">
        <f>VLOOKUP(5438,季財報!$A:$H,8,0)</f>
        <v>4</v>
      </c>
      <c r="F473" s="160">
        <v>7.5958333333333336E-2</v>
      </c>
      <c r="G473" s="54">
        <v>1480855855.8558557</v>
      </c>
      <c r="H473" s="54">
        <v>2496007000</v>
      </c>
      <c r="I473" s="65">
        <v>0.6031544897251554</v>
      </c>
      <c r="J473" s="162">
        <v>5.8864020270270263</v>
      </c>
    </row>
    <row r="474" spans="1:10" hidden="1">
      <c r="A474" s="64">
        <v>2369</v>
      </c>
      <c r="B474" s="150">
        <v>-0.03</v>
      </c>
      <c r="C474" s="159">
        <v>1</v>
      </c>
      <c r="D474" s="152">
        <v>366666666.66666669</v>
      </c>
      <c r="E474" s="26">
        <f>VLOOKUP(2369,季財報!$A:$H,8,0)</f>
        <v>2</v>
      </c>
      <c r="F474" s="159">
        <v>1.1408333333333335E-2</v>
      </c>
      <c r="G474" s="152">
        <v>3329333333.3333335</v>
      </c>
      <c r="H474" s="152">
        <v>5541546000</v>
      </c>
      <c r="I474" s="150">
        <v>0.60318664689219381</v>
      </c>
      <c r="J474" s="152">
        <v>0</v>
      </c>
    </row>
    <row r="475" spans="1:10" hidden="1">
      <c r="A475" s="64">
        <v>5450</v>
      </c>
      <c r="B475" s="52">
        <v>-0.05</v>
      </c>
      <c r="C475" s="160">
        <v>1</v>
      </c>
      <c r="D475" s="157">
        <v>40000000</v>
      </c>
      <c r="E475" s="26">
        <f>VLOOKUP(5450,季財報!$A:$H,8,0)</f>
        <v>3</v>
      </c>
      <c r="F475" s="160">
        <v>3.6058333333333324E-2</v>
      </c>
      <c r="G475" s="54">
        <v>456000000</v>
      </c>
      <c r="H475" s="54">
        <v>764686000</v>
      </c>
      <c r="I475" s="65">
        <v>0.60354103880530641</v>
      </c>
      <c r="J475" s="162">
        <v>0</v>
      </c>
    </row>
    <row r="476" spans="1:10" hidden="1">
      <c r="A476" s="64">
        <v>2329</v>
      </c>
      <c r="B476" s="150">
        <v>0.26</v>
      </c>
      <c r="C476" s="159">
        <v>1</v>
      </c>
      <c r="D476" s="152">
        <v>815384615.3846153</v>
      </c>
      <c r="E476" s="26">
        <f>VLOOKUP(2329,季財報!$A:$H,8,0)</f>
        <v>2</v>
      </c>
      <c r="F476" s="159">
        <v>2.7524999999999994E-2</v>
      </c>
      <c r="G476" s="152">
        <v>9539999999.9999981</v>
      </c>
      <c r="H476" s="152">
        <v>16033171000</v>
      </c>
      <c r="I476" s="150">
        <v>0.60595370475585353</v>
      </c>
      <c r="J476" s="152">
        <v>11.249999999999998</v>
      </c>
    </row>
    <row r="477" spans="1:10" hidden="1">
      <c r="A477" s="64">
        <v>6284</v>
      </c>
      <c r="B477" s="52">
        <v>0.57999999999999996</v>
      </c>
      <c r="C477" s="160">
        <v>0</v>
      </c>
      <c r="D477" s="157">
        <v>94827586.206896558</v>
      </c>
      <c r="E477" s="26">
        <f>VLOOKUP(6284,季財報!$A:$H,8,0)</f>
        <v>4</v>
      </c>
      <c r="F477" s="160">
        <v>-2.6750000000000016E-3</v>
      </c>
      <c r="G477" s="54">
        <v>2105172413.7931035</v>
      </c>
      <c r="H477" s="54">
        <v>3424249000</v>
      </c>
      <c r="I477" s="65">
        <v>0.60682622548481691</v>
      </c>
      <c r="J477" s="162">
        <v>0</v>
      </c>
    </row>
    <row r="478" spans="1:10" hidden="1">
      <c r="A478" s="64">
        <v>6283</v>
      </c>
      <c r="B478" s="52">
        <v>-0.08</v>
      </c>
      <c r="C478" s="160">
        <v>1</v>
      </c>
      <c r="D478" s="157">
        <v>125000000</v>
      </c>
      <c r="E478" s="26">
        <f>VLOOKUP(6283,季財報!$A:$H,8,0)</f>
        <v>2</v>
      </c>
      <c r="F478" s="160">
        <v>9.1166666666666618E-3</v>
      </c>
      <c r="G478" s="54">
        <v>590000000</v>
      </c>
      <c r="H478" s="54">
        <v>957414000</v>
      </c>
      <c r="I478" s="65">
        <v>0.60710456398573409</v>
      </c>
      <c r="J478" s="162">
        <v>0</v>
      </c>
    </row>
    <row r="479" spans="1:10" hidden="1">
      <c r="A479" s="64">
        <v>6248</v>
      </c>
      <c r="B479" s="52">
        <v>0.54</v>
      </c>
      <c r="C479" s="160">
        <v>1</v>
      </c>
      <c r="D479" s="157">
        <v>35185185.185185187</v>
      </c>
      <c r="E479" s="26">
        <f>VLOOKUP(6248,季財報!$A:$H,8,0)</f>
        <v>2</v>
      </c>
      <c r="F479" s="160">
        <v>1.7000000000000005E-2</v>
      </c>
      <c r="G479" s="54">
        <v>803981481.48148155</v>
      </c>
      <c r="H479" s="54">
        <v>1296604000</v>
      </c>
      <c r="I479" s="65">
        <v>0.60872409662694082</v>
      </c>
      <c r="J479" s="162">
        <v>10.578703703703704</v>
      </c>
    </row>
    <row r="480" spans="1:10" hidden="1">
      <c r="A480" s="64">
        <v>3324</v>
      </c>
      <c r="B480" s="150">
        <v>1.99</v>
      </c>
      <c r="C480" s="159">
        <v>0.52898550724637683</v>
      </c>
      <c r="D480" s="152">
        <v>70854271.356783926</v>
      </c>
      <c r="E480" s="26">
        <f>VLOOKUP(3324,季財報!$A:$H,8,0)</f>
        <v>4</v>
      </c>
      <c r="F480" s="159">
        <v>1.8308333333333333E-2</v>
      </c>
      <c r="G480" s="152">
        <v>2848341708.5427141</v>
      </c>
      <c r="H480" s="152">
        <v>4676874000</v>
      </c>
      <c r="I480" s="150">
        <v>0.60930888073304967</v>
      </c>
      <c r="J480" s="152">
        <v>9.5470503200936196</v>
      </c>
    </row>
    <row r="481" spans="1:10" hidden="1">
      <c r="A481" s="64">
        <v>6168</v>
      </c>
      <c r="B481" s="52">
        <v>0.88</v>
      </c>
      <c r="C481" s="160">
        <v>0.75806451612903225</v>
      </c>
      <c r="D481" s="157">
        <v>203409090.90909091</v>
      </c>
      <c r="E481" s="26">
        <f>VLOOKUP(6168,季財報!$A:$H,8,0)</f>
        <v>5</v>
      </c>
      <c r="F481" s="160">
        <v>4.9883333333333335E-2</v>
      </c>
      <c r="G481" s="54">
        <v>2654488636.3636365</v>
      </c>
      <c r="H481" s="54">
        <v>4411347000</v>
      </c>
      <c r="I481" s="65">
        <v>0.61032506504229223</v>
      </c>
      <c r="J481" s="162">
        <v>4.8905947775628631</v>
      </c>
    </row>
    <row r="482" spans="1:10" hidden="1">
      <c r="A482" s="64">
        <v>1465</v>
      </c>
      <c r="B482" s="150">
        <v>0.5</v>
      </c>
      <c r="C482" s="159">
        <v>0.375</v>
      </c>
      <c r="D482" s="152">
        <v>102000000</v>
      </c>
      <c r="E482" s="26">
        <f>VLOOKUP(1465,季財報!$A:$H,8,0)</f>
        <v>3</v>
      </c>
      <c r="F482" s="159">
        <v>3.8291666666666675E-2</v>
      </c>
      <c r="G482" s="152">
        <v>1489200000</v>
      </c>
      <c r="H482" s="152">
        <v>2394501000</v>
      </c>
      <c r="I482" s="150">
        <v>0.61203278148185747</v>
      </c>
      <c r="J482" s="152">
        <v>19.466666666666665</v>
      </c>
    </row>
    <row r="483" spans="1:10" hidden="1">
      <c r="A483" s="64">
        <v>6116</v>
      </c>
      <c r="B483" s="52">
        <v>-0.22</v>
      </c>
      <c r="C483" s="160">
        <v>1</v>
      </c>
      <c r="D483" s="157">
        <v>3213636363.6363635</v>
      </c>
      <c r="E483" s="26">
        <f>VLOOKUP(6116,季財報!$A:$H,8,0)</f>
        <v>2</v>
      </c>
      <c r="F483" s="160">
        <v>-2.9449999999999994E-2</v>
      </c>
      <c r="G483" s="54">
        <v>11601227272.727272</v>
      </c>
      <c r="H483" s="54">
        <v>18024078000</v>
      </c>
      <c r="I483" s="65">
        <v>0.61397491260792036</v>
      </c>
      <c r="J483" s="162">
        <v>0</v>
      </c>
    </row>
    <row r="484" spans="1:10" hidden="1">
      <c r="A484" s="64">
        <v>3555</v>
      </c>
      <c r="B484" s="150">
        <v>-3.62</v>
      </c>
      <c r="C484" s="159">
        <v>0.96899224806201545</v>
      </c>
      <c r="D484" s="152">
        <v>20165745.856353592</v>
      </c>
      <c r="E484" s="26">
        <f>VLOOKUP(3555,季財報!$A:$H,8,0)</f>
        <v>1</v>
      </c>
      <c r="F484" s="159">
        <v>0.52169999999999994</v>
      </c>
      <c r="G484" s="152">
        <v>201657458.56353593</v>
      </c>
      <c r="H484" s="152">
        <v>332143000</v>
      </c>
      <c r="I484" s="150">
        <v>0.61470999674911042</v>
      </c>
      <c r="J484" s="152">
        <v>0</v>
      </c>
    </row>
    <row r="485" spans="1:10" hidden="1">
      <c r="A485" s="64">
        <v>2380</v>
      </c>
      <c r="B485" s="150">
        <v>-0.08</v>
      </c>
      <c r="C485" s="159">
        <v>1</v>
      </c>
      <c r="D485" s="152">
        <v>212500000</v>
      </c>
      <c r="E485" s="26">
        <f>VLOOKUP(2380,季財報!$A:$H,8,0)</f>
        <v>2</v>
      </c>
      <c r="F485" s="159">
        <v>3.3500000000000002E-2</v>
      </c>
      <c r="G485" s="152">
        <v>1572500000</v>
      </c>
      <c r="H485" s="152">
        <v>2534366000</v>
      </c>
      <c r="I485" s="150">
        <v>0.61789008904297171</v>
      </c>
      <c r="J485" s="152">
        <v>0</v>
      </c>
    </row>
    <row r="486" spans="1:10" hidden="1">
      <c r="A486" s="64">
        <v>4526</v>
      </c>
      <c r="B486" s="52">
        <v>0.8</v>
      </c>
      <c r="C486" s="160">
        <v>0.32128514056224899</v>
      </c>
      <c r="D486" s="157">
        <v>255000000</v>
      </c>
      <c r="E486" s="26">
        <f>VLOOKUP(4526,季財報!$A:$H,8,0)</f>
        <v>2</v>
      </c>
      <c r="F486" s="160">
        <v>4.1575000000000015E-2</v>
      </c>
      <c r="G486" s="54">
        <v>5648250000</v>
      </c>
      <c r="H486" s="54">
        <v>9068793000</v>
      </c>
      <c r="I486" s="65">
        <v>0.61923250142632047</v>
      </c>
      <c r="J486" s="162">
        <v>21.544335937499994</v>
      </c>
    </row>
    <row r="487" spans="1:10" hidden="1">
      <c r="A487" s="64">
        <v>3038</v>
      </c>
      <c r="B487" s="150">
        <v>0.48</v>
      </c>
      <c r="C487" s="159">
        <v>0.4315068493150685</v>
      </c>
      <c r="D487" s="152">
        <v>214583333.33333334</v>
      </c>
      <c r="E487" s="26">
        <f>VLOOKUP(3038,季財報!$A:$H,8,0)</f>
        <v>3</v>
      </c>
      <c r="F487" s="159">
        <v>4.0750000000000048E-3</v>
      </c>
      <c r="G487" s="152">
        <v>2130812500</v>
      </c>
      <c r="H487" s="152">
        <v>3427841000</v>
      </c>
      <c r="I487" s="150">
        <v>0.62016968707052167</v>
      </c>
      <c r="J487" s="152">
        <v>11.985615079365079</v>
      </c>
    </row>
    <row r="488" spans="1:10">
      <c r="A488" s="64">
        <v>2313</v>
      </c>
      <c r="B488" s="150">
        <v>0.8</v>
      </c>
      <c r="C488" s="159">
        <v>1</v>
      </c>
      <c r="D488" s="152">
        <v>1192500000</v>
      </c>
      <c r="E488" s="26">
        <f>VLOOKUP(2313,季財報!$A:$H,8,0)</f>
        <v>6</v>
      </c>
      <c r="F488" s="159">
        <v>3.7200000000000004E-2</v>
      </c>
      <c r="G488" s="152">
        <v>26235000000</v>
      </c>
      <c r="H488" s="152">
        <v>43845837000</v>
      </c>
      <c r="I488" s="150">
        <v>0.62143509794371421</v>
      </c>
      <c r="J488" s="152">
        <v>6.875</v>
      </c>
    </row>
    <row r="489" spans="1:10" hidden="1">
      <c r="A489" s="64">
        <v>2314</v>
      </c>
      <c r="B489" s="150">
        <v>0.36</v>
      </c>
      <c r="C489" s="159">
        <v>0</v>
      </c>
      <c r="D489" s="152">
        <v>402777777.77777779</v>
      </c>
      <c r="E489" s="26">
        <f>VLOOKUP(2314,季財報!$A:$H,8,0)</f>
        <v>4</v>
      </c>
      <c r="F489" s="159">
        <v>1.5566666666666666E-2</v>
      </c>
      <c r="G489" s="152">
        <v>3741805555.5555553</v>
      </c>
      <c r="H489" s="152">
        <v>6077947000</v>
      </c>
      <c r="I489" s="150">
        <v>0.62176409648438358</v>
      </c>
      <c r="J489" s="152">
        <v>0</v>
      </c>
    </row>
    <row r="490" spans="1:10" hidden="1">
      <c r="A490" s="64">
        <v>6506</v>
      </c>
      <c r="B490" s="52">
        <v>0.11</v>
      </c>
      <c r="C490" s="160">
        <v>1</v>
      </c>
      <c r="D490" s="157">
        <v>63636363.636363633</v>
      </c>
      <c r="E490" s="26">
        <f>VLOOKUP(6506,季財報!$A:$H,8,0)</f>
        <v>1</v>
      </c>
      <c r="F490" s="160">
        <v>3.6491666666666665E-2</v>
      </c>
      <c r="G490" s="54">
        <v>1202727272.7272725</v>
      </c>
      <c r="H490" s="54">
        <v>1936863000</v>
      </c>
      <c r="I490" s="65">
        <v>0.62438891415652953</v>
      </c>
      <c r="J490" s="162">
        <v>42.954545454545453</v>
      </c>
    </row>
    <row r="491" spans="1:10" hidden="1">
      <c r="A491" s="64">
        <v>3484</v>
      </c>
      <c r="B491" s="155">
        <v>0.78</v>
      </c>
      <c r="C491" s="159">
        <v>0.81481481481481477</v>
      </c>
      <c r="D491" s="156">
        <v>64102564.102564104</v>
      </c>
      <c r="E491" s="26">
        <f>VLOOKUP(3484,季財報!$A:$H,8,0)</f>
        <v>1</v>
      </c>
      <c r="F491" s="159">
        <v>1.4825E-2</v>
      </c>
      <c r="G491" s="156">
        <v>2038461538.4615386</v>
      </c>
      <c r="H491" s="156">
        <v>3260611000</v>
      </c>
      <c r="I491" s="155">
        <v>0.62480928580714823</v>
      </c>
      <c r="J491" s="156">
        <v>12.50874125874126</v>
      </c>
    </row>
    <row r="492" spans="1:10" hidden="1">
      <c r="A492" s="64">
        <v>2375</v>
      </c>
      <c r="B492" s="150">
        <v>0.06</v>
      </c>
      <c r="C492" s="159">
        <v>0.6</v>
      </c>
      <c r="D492" s="152">
        <v>66666666.666666672</v>
      </c>
      <c r="E492" s="26">
        <f>VLOOKUP(2375,季財報!$A:$H,8,0)</f>
        <v>1</v>
      </c>
      <c r="F492" s="159">
        <v>2.529166666666666E-2</v>
      </c>
      <c r="G492" s="152">
        <v>926666666.66666675</v>
      </c>
      <c r="H492" s="152">
        <v>1482655000</v>
      </c>
      <c r="I492" s="150">
        <v>0.62634534699757538</v>
      </c>
      <c r="J492" s="152">
        <v>50</v>
      </c>
    </row>
    <row r="493" spans="1:10" hidden="1">
      <c r="A493" s="64">
        <v>6117</v>
      </c>
      <c r="B493" s="52">
        <v>-0.49</v>
      </c>
      <c r="C493" s="160">
        <v>1</v>
      </c>
      <c r="D493" s="157">
        <v>87755102.040816322</v>
      </c>
      <c r="E493" s="26">
        <f>VLOOKUP(6117,季財報!$A:$H,8,0)</f>
        <v>3</v>
      </c>
      <c r="F493" s="160">
        <v>2.7391666666666665E-2</v>
      </c>
      <c r="G493" s="54">
        <v>1294387755.1020408</v>
      </c>
      <c r="H493" s="54">
        <v>2087986000</v>
      </c>
      <c r="I493" s="65">
        <v>0.62692598730736071</v>
      </c>
      <c r="J493" s="162">
        <v>0</v>
      </c>
    </row>
    <row r="494" spans="1:10" hidden="1">
      <c r="A494" s="64">
        <v>6151</v>
      </c>
      <c r="B494" s="52">
        <v>0.64</v>
      </c>
      <c r="C494" s="160">
        <v>1</v>
      </c>
      <c r="D494" s="157">
        <v>54687500</v>
      </c>
      <c r="E494" s="26">
        <f>VLOOKUP(6151,季財報!$A:$H,8,0)</f>
        <v>2</v>
      </c>
      <c r="F494" s="160">
        <v>5.9499999999999996E-3</v>
      </c>
      <c r="G494" s="54">
        <v>1238671875</v>
      </c>
      <c r="H494" s="54">
        <v>1950591000</v>
      </c>
      <c r="I494" s="65">
        <v>0.62777989092285791</v>
      </c>
      <c r="J494" s="162">
        <v>8.84765625</v>
      </c>
    </row>
    <row r="495" spans="1:10" hidden="1">
      <c r="A495" s="64">
        <v>3519</v>
      </c>
      <c r="B495" s="150">
        <v>-1.37</v>
      </c>
      <c r="C495" s="159">
        <v>1</v>
      </c>
      <c r="D495" s="152">
        <v>413868613.13868612</v>
      </c>
      <c r="E495" s="26">
        <f>VLOOKUP(3519,季財報!$A:$H,8,0)</f>
        <v>3</v>
      </c>
      <c r="F495" s="159">
        <v>1.7749999999999964E-3</v>
      </c>
      <c r="G495" s="152">
        <v>9663832116.7883224</v>
      </c>
      <c r="H495" s="152">
        <v>15292502000</v>
      </c>
      <c r="I495" s="150">
        <v>0.62942016700038905</v>
      </c>
      <c r="J495" s="152">
        <v>0</v>
      </c>
    </row>
    <row r="496" spans="1:10" hidden="1">
      <c r="A496" s="64">
        <v>1312</v>
      </c>
      <c r="B496" s="150">
        <v>0.16</v>
      </c>
      <c r="C496" s="159">
        <v>0.93392504930966469</v>
      </c>
      <c r="D496" s="152">
        <v>900000000</v>
      </c>
      <c r="E496" s="26">
        <f>VLOOKUP(1312,季財報!$A:$H,8,0)</f>
        <v>2</v>
      </c>
      <c r="F496" s="159">
        <v>-6.5666666666666694E-3</v>
      </c>
      <c r="G496" s="152">
        <v>12915000000</v>
      </c>
      <c r="H496" s="152">
        <v>20148986000</v>
      </c>
      <c r="I496" s="150">
        <v>0.63005535266781243</v>
      </c>
      <c r="J496" s="152">
        <v>24.008216737064412</v>
      </c>
    </row>
    <row r="497" spans="1:10" hidden="1">
      <c r="A497" s="64">
        <v>9912</v>
      </c>
      <c r="B497" s="52">
        <v>-0.2</v>
      </c>
      <c r="C497" s="160">
        <v>1</v>
      </c>
      <c r="D497" s="157">
        <v>50000000</v>
      </c>
      <c r="E497" s="26">
        <f>VLOOKUP(9912,季財報!$A:$H,8,0)</f>
        <v>2</v>
      </c>
      <c r="F497" s="160">
        <v>1.3216666666666673E-2</v>
      </c>
      <c r="G497" s="54">
        <v>430500000</v>
      </c>
      <c r="H497" s="54">
        <v>679390000</v>
      </c>
      <c r="I497" s="65">
        <v>0.63140387261041864</v>
      </c>
      <c r="J497" s="162">
        <v>0</v>
      </c>
    </row>
    <row r="498" spans="1:10" hidden="1">
      <c r="A498" s="64">
        <v>3444</v>
      </c>
      <c r="B498" s="150">
        <v>0.32</v>
      </c>
      <c r="C498" s="159">
        <v>0.5</v>
      </c>
      <c r="D498" s="152">
        <v>40625000</v>
      </c>
      <c r="E498" s="26">
        <f>VLOOKUP(3444,季財報!$A:$H,8,0)</f>
        <v>1</v>
      </c>
      <c r="F498" s="159">
        <v>6.4916666666666699E-3</v>
      </c>
      <c r="G498" s="152">
        <v>627656250</v>
      </c>
      <c r="H498" s="152">
        <v>994144000</v>
      </c>
      <c r="I498" s="150">
        <v>0.63179768381742318</v>
      </c>
      <c r="J498" s="152">
        <v>24.140625</v>
      </c>
    </row>
    <row r="499" spans="1:10" hidden="1">
      <c r="A499" s="64">
        <v>5388</v>
      </c>
      <c r="B499" s="52">
        <v>1.89</v>
      </c>
      <c r="C499" s="160">
        <v>1</v>
      </c>
      <c r="D499" s="157">
        <v>233862433.86243388</v>
      </c>
      <c r="E499" s="26">
        <f>VLOOKUP(5388,季財報!$A:$H,8,0)</f>
        <v>5</v>
      </c>
      <c r="F499" s="160">
        <v>4.719166666666666E-2</v>
      </c>
      <c r="G499" s="54">
        <v>20813756613.756615</v>
      </c>
      <c r="H499" s="54">
        <v>34055270000</v>
      </c>
      <c r="I499" s="65">
        <v>0.63243100655080309</v>
      </c>
      <c r="J499" s="162">
        <v>11.772486772486774</v>
      </c>
    </row>
    <row r="500" spans="1:10" hidden="1">
      <c r="A500" s="64">
        <v>8940</v>
      </c>
      <c r="B500" s="52">
        <v>-1.19</v>
      </c>
      <c r="C500" s="160">
        <v>1</v>
      </c>
      <c r="D500" s="157">
        <v>68067226.890756309</v>
      </c>
      <c r="E500" s="26">
        <f>VLOOKUP(8940,季財報!$A:$H,8,0)</f>
        <v>1</v>
      </c>
      <c r="F500" s="160">
        <v>0.13090833333333332</v>
      </c>
      <c r="G500" s="54">
        <v>1044831932.7731093</v>
      </c>
      <c r="H500" s="54">
        <v>1649219000</v>
      </c>
      <c r="I500" s="65">
        <v>0.63256747025129334</v>
      </c>
      <c r="J500" s="162">
        <v>0</v>
      </c>
    </row>
    <row r="501" spans="1:10" hidden="1">
      <c r="A501" s="64">
        <v>2103</v>
      </c>
      <c r="B501" s="150">
        <v>-0.09</v>
      </c>
      <c r="C501" s="159">
        <v>1</v>
      </c>
      <c r="D501" s="152">
        <v>866666666.66666675</v>
      </c>
      <c r="E501" s="26">
        <f>VLOOKUP(2103,季財報!$A:$H,8,0)</f>
        <v>0</v>
      </c>
      <c r="F501" s="159">
        <v>-1.5024999999999998E-2</v>
      </c>
      <c r="G501" s="152">
        <v>17160000000.000002</v>
      </c>
      <c r="H501" s="152">
        <v>26556148000</v>
      </c>
      <c r="I501" s="150">
        <v>0.63294767049806566</v>
      </c>
      <c r="J501" s="152">
        <v>0</v>
      </c>
    </row>
    <row r="502" spans="1:10" hidden="1">
      <c r="A502" s="64">
        <v>8093</v>
      </c>
      <c r="B502" s="52">
        <v>0.39</v>
      </c>
      <c r="C502" s="160">
        <v>1</v>
      </c>
      <c r="D502" s="157">
        <v>64102564.102564104</v>
      </c>
      <c r="E502" s="26">
        <f>VLOOKUP(8093,季財報!$A:$H,8,0)</f>
        <v>5</v>
      </c>
      <c r="F502" s="160">
        <v>-1.1691666666666668E-2</v>
      </c>
      <c r="G502" s="54">
        <v>358974358.97435898</v>
      </c>
      <c r="H502" s="54">
        <v>547857000</v>
      </c>
      <c r="I502" s="65">
        <v>0.63495164820522076</v>
      </c>
      <c r="J502" s="162">
        <v>3.5897435897435894</v>
      </c>
    </row>
    <row r="503" spans="1:10" hidden="1">
      <c r="A503" s="64">
        <v>6247</v>
      </c>
      <c r="B503" s="52">
        <v>0.96</v>
      </c>
      <c r="C503" s="160">
        <v>0.44736842105263158</v>
      </c>
      <c r="D503" s="157">
        <v>60416666.666666672</v>
      </c>
      <c r="E503" s="26">
        <f>VLOOKUP(6247,季財報!$A:$H,8,0)</f>
        <v>3</v>
      </c>
      <c r="F503" s="160">
        <v>6.507499999999998E-2</v>
      </c>
      <c r="G503" s="54">
        <v>879062500.00000012</v>
      </c>
      <c r="H503" s="54">
        <v>1385645000</v>
      </c>
      <c r="I503" s="65">
        <v>0.63690812148647713</v>
      </c>
      <c r="J503" s="162">
        <v>8.4696691176470598</v>
      </c>
    </row>
    <row r="504" spans="1:10" hidden="1">
      <c r="A504" s="64">
        <v>1314</v>
      </c>
      <c r="B504" s="150">
        <v>-0.17</v>
      </c>
      <c r="C504" s="159">
        <v>1</v>
      </c>
      <c r="D504" s="152">
        <v>2276470588.2352939</v>
      </c>
      <c r="E504" s="26">
        <f>VLOOKUP(1314,季財報!$A:$H,8,0)</f>
        <v>2</v>
      </c>
      <c r="F504" s="159">
        <v>-2.4374999999999997E-2</v>
      </c>
      <c r="G504" s="152">
        <v>17574352941.176468</v>
      </c>
      <c r="H504" s="152">
        <v>26851365000</v>
      </c>
      <c r="I504" s="150">
        <v>0.6380273023723062</v>
      </c>
      <c r="J504" s="152">
        <v>0</v>
      </c>
    </row>
    <row r="505" spans="1:10" hidden="1">
      <c r="A505" s="64">
        <v>3406</v>
      </c>
      <c r="B505" s="150">
        <v>-0.53</v>
      </c>
      <c r="C505" s="159">
        <v>0.87671232876712324</v>
      </c>
      <c r="D505" s="152">
        <v>100000000</v>
      </c>
      <c r="E505" s="26">
        <f>VLOOKUP(3406,季財報!$A:$H,8,0)</f>
        <v>2</v>
      </c>
      <c r="F505" s="159">
        <v>7.604166666666666E-2</v>
      </c>
      <c r="G505" s="152">
        <v>6060000000</v>
      </c>
      <c r="H505" s="152">
        <v>9389976000</v>
      </c>
      <c r="I505" s="150">
        <v>0.63821754055603919</v>
      </c>
      <c r="J505" s="152">
        <v>0</v>
      </c>
    </row>
    <row r="506" spans="1:10" hidden="1">
      <c r="A506" s="64">
        <v>1310</v>
      </c>
      <c r="B506" s="150">
        <v>0.15</v>
      </c>
      <c r="C506" s="159">
        <v>1</v>
      </c>
      <c r="D506" s="152">
        <v>526666666.66666669</v>
      </c>
      <c r="E506" s="26">
        <f>VLOOKUP(1310,季財報!$A:$H,8,0)</f>
        <v>2</v>
      </c>
      <c r="F506" s="159">
        <v>6.1841666666666677E-2</v>
      </c>
      <c r="G506" s="152">
        <v>8216000000</v>
      </c>
      <c r="H506" s="152">
        <v>12993132000</v>
      </c>
      <c r="I506" s="150">
        <v>0.6383293299196906</v>
      </c>
      <c r="J506" s="152">
        <v>26</v>
      </c>
    </row>
    <row r="507" spans="1:10" hidden="1">
      <c r="A507" s="64">
        <v>6287</v>
      </c>
      <c r="B507" s="52">
        <v>-0.38</v>
      </c>
      <c r="C507" s="160">
        <v>0.95364238410596025</v>
      </c>
      <c r="D507" s="157">
        <v>181578947.36842105</v>
      </c>
      <c r="E507" s="26">
        <f>VLOOKUP(6287,季財報!$A:$H,8,0)</f>
        <v>3</v>
      </c>
      <c r="F507" s="160">
        <v>4.3300000000000005E-2</v>
      </c>
      <c r="G507" s="54">
        <v>539289473.68421054</v>
      </c>
      <c r="H507" s="54">
        <v>864237000</v>
      </c>
      <c r="I507" s="65">
        <v>0.63899506932658412</v>
      </c>
      <c r="J507" s="162">
        <v>0</v>
      </c>
    </row>
    <row r="508" spans="1:10" hidden="1">
      <c r="A508" s="64">
        <v>2342</v>
      </c>
      <c r="B508" s="155">
        <v>-0.12</v>
      </c>
      <c r="C508" s="159">
        <v>0.75743707093821511</v>
      </c>
      <c r="D508" s="156">
        <v>375000000</v>
      </c>
      <c r="E508" s="26">
        <f>VLOOKUP(2342,季財報!$A:$H,8,0)</f>
        <v>1</v>
      </c>
      <c r="F508" s="159">
        <v>5.9750000000000004E-2</v>
      </c>
      <c r="G508" s="156">
        <v>877500000</v>
      </c>
      <c r="H508" s="156">
        <v>1398348000</v>
      </c>
      <c r="I508" s="155">
        <v>0.6394928948877735</v>
      </c>
      <c r="J508" s="156">
        <v>0</v>
      </c>
    </row>
    <row r="509" spans="1:10" hidden="1">
      <c r="A509" s="64">
        <v>2349</v>
      </c>
      <c r="B509" s="150">
        <v>-0.22</v>
      </c>
      <c r="C509" s="159">
        <v>1</v>
      </c>
      <c r="D509" s="152">
        <v>2668181818.181818</v>
      </c>
      <c r="E509" s="26">
        <f>VLOOKUP(2349,季財報!$A:$H,8,0)</f>
        <v>0</v>
      </c>
      <c r="F509" s="159">
        <v>1.1583333333333324E-3</v>
      </c>
      <c r="G509" s="152">
        <v>7177409090.90909</v>
      </c>
      <c r="H509" s="152">
        <v>11138583000</v>
      </c>
      <c r="I509" s="150">
        <v>0.64009164738347823</v>
      </c>
      <c r="J509" s="152">
        <v>0</v>
      </c>
    </row>
    <row r="510" spans="1:10" hidden="1">
      <c r="A510" s="64">
        <v>5493</v>
      </c>
      <c r="B510" s="52">
        <v>0.84</v>
      </c>
      <c r="C510" s="160">
        <v>0.79347826086956519</v>
      </c>
      <c r="D510" s="157">
        <v>44047619.047619052</v>
      </c>
      <c r="E510" s="26">
        <f>VLOOKUP(5493,季財報!$A:$H,8,0)</f>
        <v>2</v>
      </c>
      <c r="F510" s="160">
        <v>5.3216666666666683E-2</v>
      </c>
      <c r="G510" s="54">
        <v>1440357142.8571432</v>
      </c>
      <c r="H510" s="54">
        <v>2265775000</v>
      </c>
      <c r="I510" s="65">
        <v>0.64045533213921435</v>
      </c>
      <c r="J510" s="162">
        <v>12.265166340508808</v>
      </c>
    </row>
    <row r="511" spans="1:10" hidden="1">
      <c r="A511" s="64">
        <v>5209</v>
      </c>
      <c r="B511" s="52">
        <v>0.87</v>
      </c>
      <c r="C511" s="160">
        <v>0.67500000000000004</v>
      </c>
      <c r="D511" s="157">
        <v>24137931.034482758</v>
      </c>
      <c r="E511" s="26">
        <f>VLOOKUP(5209,季財報!$A:$H,8,0)</f>
        <v>3</v>
      </c>
      <c r="F511" s="160">
        <v>-2.3433333333333334E-2</v>
      </c>
      <c r="G511" s="54">
        <v>984827586.20689642</v>
      </c>
      <c r="H511" s="54">
        <v>1460446000</v>
      </c>
      <c r="I511" s="65">
        <v>0.64056534826311129</v>
      </c>
      <c r="J511" s="162">
        <v>17.369093231162193</v>
      </c>
    </row>
    <row r="512" spans="1:10" hidden="1">
      <c r="A512" s="64">
        <v>4974</v>
      </c>
      <c r="B512" s="52">
        <v>1.4</v>
      </c>
      <c r="C512" s="160">
        <v>0.84615384615384615</v>
      </c>
      <c r="D512" s="157">
        <v>62142857.142857149</v>
      </c>
      <c r="E512" s="26">
        <f>VLOOKUP(4974,季財報!$A:$H,8,0)</f>
        <v>2</v>
      </c>
      <c r="F512" s="160">
        <v>3.1949999999999985E-2</v>
      </c>
      <c r="G512" s="54">
        <v>2314821428.5714288</v>
      </c>
      <c r="H512" s="54">
        <v>3553586000</v>
      </c>
      <c r="I512" s="65">
        <v>0.6413932048004376</v>
      </c>
      <c r="J512" s="162">
        <v>7.8612012987012987</v>
      </c>
    </row>
    <row r="513" spans="1:10" hidden="1">
      <c r="A513" s="64">
        <v>3005</v>
      </c>
      <c r="B513" s="150">
        <v>0.44</v>
      </c>
      <c r="C513" s="159">
        <v>0.83364839319470696</v>
      </c>
      <c r="D513" s="152">
        <v>581818181.81818187</v>
      </c>
      <c r="E513" s="26">
        <f>VLOOKUP(3005,季財報!$A:$H,8,0)</f>
        <v>2</v>
      </c>
      <c r="F513" s="159">
        <v>1.5183333333333335E-2</v>
      </c>
      <c r="G513" s="152">
        <v>11781818181.818182</v>
      </c>
      <c r="H513" s="152">
        <v>18339241000</v>
      </c>
      <c r="I513" s="150">
        <v>0.64507009164375406</v>
      </c>
      <c r="J513" s="152">
        <v>13.801600185528757</v>
      </c>
    </row>
    <row r="514" spans="1:10" hidden="1">
      <c r="A514" s="64">
        <v>1231</v>
      </c>
      <c r="B514" s="150">
        <v>0.8</v>
      </c>
      <c r="C514" s="159">
        <v>0.51677852348993292</v>
      </c>
      <c r="D514" s="152">
        <v>147500000</v>
      </c>
      <c r="E514" s="26">
        <f>VLOOKUP(1231,季財報!$A:$H,8,0)</f>
        <v>1</v>
      </c>
      <c r="F514" s="159">
        <v>1.4441666666666663E-2</v>
      </c>
      <c r="G514" s="152">
        <v>4152125000</v>
      </c>
      <c r="H514" s="152">
        <v>6440688000</v>
      </c>
      <c r="I514" s="150">
        <v>0.64514683019009822</v>
      </c>
      <c r="J514" s="152">
        <v>17.022524350649348</v>
      </c>
    </row>
    <row r="515" spans="1:10" hidden="1">
      <c r="A515" s="64">
        <v>1324</v>
      </c>
      <c r="B515" s="150">
        <v>0.28000000000000003</v>
      </c>
      <c r="C515" s="159">
        <v>0.80555555555555558</v>
      </c>
      <c r="D515" s="152">
        <v>75000000</v>
      </c>
      <c r="E515" s="26">
        <f>VLOOKUP(1324,季財報!$A:$H,8,0)</f>
        <v>2</v>
      </c>
      <c r="F515" s="159">
        <v>4.1999999999999997E-3</v>
      </c>
      <c r="G515" s="152">
        <v>836250000</v>
      </c>
      <c r="H515" s="152">
        <v>1286802000</v>
      </c>
      <c r="I515" s="150">
        <v>0.64540303248740838</v>
      </c>
      <c r="J515" s="152">
        <v>12.358374384236452</v>
      </c>
    </row>
    <row r="516" spans="1:10" hidden="1">
      <c r="A516" s="64">
        <v>9958</v>
      </c>
      <c r="B516" s="52">
        <v>0.48</v>
      </c>
      <c r="C516" s="160">
        <v>1</v>
      </c>
      <c r="D516" s="157">
        <v>185416666.66666669</v>
      </c>
      <c r="E516" s="26">
        <f>VLOOKUP(9958,季財報!$A:$H,8,0)</f>
        <v>4</v>
      </c>
      <c r="F516" s="160">
        <v>5.6166666666666677E-2</v>
      </c>
      <c r="G516" s="54">
        <v>1854166666.666667</v>
      </c>
      <c r="H516" s="54">
        <v>2977834000</v>
      </c>
      <c r="I516" s="65">
        <v>0.64550321283630585</v>
      </c>
      <c r="J516" s="162">
        <v>5.2083333333333339</v>
      </c>
    </row>
    <row r="517" spans="1:10" hidden="1">
      <c r="A517" s="64">
        <v>2402</v>
      </c>
      <c r="B517" s="150">
        <v>0.23</v>
      </c>
      <c r="C517" s="159">
        <v>7.6923076923076927E-3</v>
      </c>
      <c r="D517" s="152">
        <v>330434782.60869563</v>
      </c>
      <c r="E517" s="26">
        <f>VLOOKUP(2402,季財報!$A:$H,8,0)</f>
        <v>2</v>
      </c>
      <c r="F517" s="159">
        <v>-1.9299999999999998E-2</v>
      </c>
      <c r="G517" s="152">
        <v>5105217391.304347</v>
      </c>
      <c r="H517" s="152">
        <v>7636286000</v>
      </c>
      <c r="I517" s="150">
        <v>0.64591003790075996</v>
      </c>
      <c r="J517" s="152">
        <v>50</v>
      </c>
    </row>
    <row r="518" spans="1:10" hidden="1">
      <c r="A518" s="64">
        <v>8103</v>
      </c>
      <c r="B518" s="52">
        <v>-0.7</v>
      </c>
      <c r="C518" s="160">
        <v>1</v>
      </c>
      <c r="D518" s="157">
        <v>77142857.142857149</v>
      </c>
      <c r="E518" s="26">
        <f>VLOOKUP(8103,季財報!$A:$H,8,0)</f>
        <v>1</v>
      </c>
      <c r="F518" s="160">
        <v>-1.4000000000000005E-2</v>
      </c>
      <c r="G518" s="54">
        <v>1874571428.5714288</v>
      </c>
      <c r="H518" s="54">
        <v>2799011000</v>
      </c>
      <c r="I518" s="65">
        <v>0.64698779159380337</v>
      </c>
      <c r="J518" s="162">
        <v>0</v>
      </c>
    </row>
    <row r="519" spans="1:10" hidden="1">
      <c r="A519" s="64">
        <v>1232</v>
      </c>
      <c r="B519" s="150">
        <v>1.72</v>
      </c>
      <c r="C519" s="159">
        <v>0.85365853658536583</v>
      </c>
      <c r="D519" s="152">
        <v>159302325.58139536</v>
      </c>
      <c r="E519" s="26">
        <f>VLOOKUP(1232,季財報!$A:$H,8,0)</f>
        <v>3</v>
      </c>
      <c r="F519" s="159">
        <v>-3.9499999999999995E-3</v>
      </c>
      <c r="G519" s="152">
        <v>11931744186.046513</v>
      </c>
      <c r="H519" s="152">
        <v>18161667000</v>
      </c>
      <c r="I519" s="150">
        <v>0.64699374818023758</v>
      </c>
      <c r="J519" s="152">
        <v>12.752906976744187</v>
      </c>
    </row>
    <row r="520" spans="1:10" hidden="1">
      <c r="A520" s="64">
        <v>3032</v>
      </c>
      <c r="B520" s="150">
        <v>0.84</v>
      </c>
      <c r="C520" s="159">
        <v>0.54782608695652169</v>
      </c>
      <c r="D520" s="152">
        <v>103571428.57142858</v>
      </c>
      <c r="E520" s="26">
        <f>VLOOKUP(3032,季財報!$A:$H,8,0)</f>
        <v>4</v>
      </c>
      <c r="F520" s="159">
        <v>4.1608333333333337E-2</v>
      </c>
      <c r="G520" s="152">
        <v>2273392857.1428571</v>
      </c>
      <c r="H520" s="152">
        <v>3565163000</v>
      </c>
      <c r="I520" s="150">
        <v>0.64735921576938771</v>
      </c>
      <c r="J520" s="152">
        <v>11.924839380196524</v>
      </c>
    </row>
    <row r="521" spans="1:10" hidden="1">
      <c r="A521" s="64">
        <v>8092</v>
      </c>
      <c r="B521" s="52">
        <v>-0.16</v>
      </c>
      <c r="C521" s="160">
        <v>0.6875</v>
      </c>
      <c r="D521" s="157">
        <v>37500000</v>
      </c>
      <c r="E521" s="26">
        <f>VLOOKUP(8092,季財報!$A:$H,8,0)</f>
        <v>2</v>
      </c>
      <c r="F521" s="160">
        <v>6.9158333333333308E-2</v>
      </c>
      <c r="G521" s="54">
        <v>274875000</v>
      </c>
      <c r="H521" s="54">
        <v>409242000</v>
      </c>
      <c r="I521" s="65">
        <v>0.64749141978173153</v>
      </c>
      <c r="J521" s="162">
        <v>0</v>
      </c>
    </row>
    <row r="522" spans="1:10" hidden="1">
      <c r="A522" s="64">
        <v>2427</v>
      </c>
      <c r="B522" s="150">
        <v>0.12</v>
      </c>
      <c r="C522" s="159">
        <v>0</v>
      </c>
      <c r="D522" s="152">
        <v>191666666.66666669</v>
      </c>
      <c r="E522" s="26">
        <f>VLOOKUP(2427,季財報!$A:$H,8,0)</f>
        <v>3</v>
      </c>
      <c r="F522" s="159">
        <v>0.2856083333333333</v>
      </c>
      <c r="G522" s="152">
        <v>1284166666.6666667</v>
      </c>
      <c r="H522" s="152">
        <v>2222457000</v>
      </c>
      <c r="I522" s="150">
        <v>0.6486155404411158</v>
      </c>
      <c r="J522" s="152">
        <v>0</v>
      </c>
    </row>
    <row r="523" spans="1:10" hidden="1">
      <c r="A523" s="64">
        <v>3338</v>
      </c>
      <c r="B523" s="150">
        <v>0.7</v>
      </c>
      <c r="C523" s="159">
        <v>0.69491525423728817</v>
      </c>
      <c r="D523" s="152">
        <v>70000000</v>
      </c>
      <c r="E523" s="26">
        <f>VLOOKUP(3338,季財報!$A:$H,8,0)</f>
        <v>5</v>
      </c>
      <c r="F523" s="159">
        <v>2.6316666666666658E-2</v>
      </c>
      <c r="G523" s="152">
        <v>1627500000</v>
      </c>
      <c r="H523" s="152">
        <v>2535093000</v>
      </c>
      <c r="I523" s="150">
        <v>0.6486523972438949</v>
      </c>
      <c r="J523" s="152">
        <v>11.949041811846691</v>
      </c>
    </row>
    <row r="524" spans="1:10" hidden="1">
      <c r="A524" s="64">
        <v>3515</v>
      </c>
      <c r="B524" s="150">
        <v>0.55000000000000004</v>
      </c>
      <c r="C524" s="159">
        <v>1</v>
      </c>
      <c r="D524" s="152">
        <v>114545454.54545453</v>
      </c>
      <c r="E524" s="26">
        <f>VLOOKUP(3515,季財報!$A:$H,8,0)</f>
        <v>1</v>
      </c>
      <c r="F524" s="159">
        <v>1.7316666666666671E-2</v>
      </c>
      <c r="G524" s="152">
        <v>4696363636.363636</v>
      </c>
      <c r="H524" s="152">
        <v>7258333000</v>
      </c>
      <c r="I524" s="150">
        <v>0.64938440972591294</v>
      </c>
      <c r="J524" s="152">
        <v>18.636363636363633</v>
      </c>
    </row>
    <row r="525" spans="1:10" hidden="1">
      <c r="A525" s="64">
        <v>9935</v>
      </c>
      <c r="B525" s="52">
        <v>0.01</v>
      </c>
      <c r="C525" s="160">
        <v>1</v>
      </c>
      <c r="D525" s="157">
        <v>200000000</v>
      </c>
      <c r="E525" s="26">
        <f>VLOOKUP(9935,季財報!$A:$H,8,0)</f>
        <v>2</v>
      </c>
      <c r="F525" s="160">
        <v>3.0433333333333326E-2</v>
      </c>
      <c r="G525" s="54">
        <v>2139999999.9999998</v>
      </c>
      <c r="H525" s="54">
        <v>3291399000</v>
      </c>
      <c r="I525" s="65">
        <v>0.64961991163954946</v>
      </c>
      <c r="J525" s="162">
        <v>50</v>
      </c>
    </row>
    <row r="526" spans="1:10" hidden="1">
      <c r="A526" s="64">
        <v>1809</v>
      </c>
      <c r="B526" s="150">
        <v>0.12</v>
      </c>
      <c r="C526" s="159">
        <v>0.37142857142857144</v>
      </c>
      <c r="D526" s="152">
        <v>191666666.66666669</v>
      </c>
      <c r="E526" s="26">
        <f>VLOOKUP(1809,季財報!$A:$H,8,0)</f>
        <v>1</v>
      </c>
      <c r="F526" s="159">
        <v>7.4166666666666771E-4</v>
      </c>
      <c r="G526" s="152">
        <v>1870666666.6666667</v>
      </c>
      <c r="H526" s="152">
        <v>2842198000</v>
      </c>
      <c r="I526" s="150">
        <v>0.65049335261167518</v>
      </c>
      <c r="J526" s="152">
        <v>50</v>
      </c>
    </row>
    <row r="527" spans="1:10" ht="16.5" hidden="1" customHeight="1">
      <c r="A527" s="64">
        <v>1451</v>
      </c>
      <c r="B527" s="150">
        <v>0.81</v>
      </c>
      <c r="C527" s="159">
        <v>0.67385444743935308</v>
      </c>
      <c r="D527" s="152">
        <v>401234567.90123457</v>
      </c>
      <c r="E527" s="26">
        <f>VLOOKUP(1451,季財報!$A:$H,8,0)</f>
        <v>3</v>
      </c>
      <c r="F527" s="159">
        <v>1.421666666666666E-2</v>
      </c>
      <c r="G527" s="152">
        <v>8345679012.3456793</v>
      </c>
      <c r="H527" s="152">
        <v>12778966000</v>
      </c>
      <c r="I527" s="150">
        <v>0.6506993347302944</v>
      </c>
      <c r="J527" s="152">
        <v>9.526913580246914</v>
      </c>
    </row>
    <row r="528" spans="1:10" hidden="1">
      <c r="A528" s="64">
        <v>9907</v>
      </c>
      <c r="B528" s="52">
        <v>0.09</v>
      </c>
      <c r="C528" s="160">
        <v>1</v>
      </c>
      <c r="D528" s="157">
        <v>1600000000</v>
      </c>
      <c r="E528" s="26">
        <f>VLOOKUP(9907,季財報!$A:$H,8,0)</f>
        <v>2</v>
      </c>
      <c r="F528" s="160">
        <v>1.6158333333333334E-2</v>
      </c>
      <c r="G528" s="54">
        <v>23920000000</v>
      </c>
      <c r="H528" s="54">
        <v>36491225000</v>
      </c>
      <c r="I528" s="65">
        <v>0.6507738018817647</v>
      </c>
      <c r="J528" s="162">
        <v>41.527777777777779</v>
      </c>
    </row>
    <row r="529" spans="1:10" hidden="1">
      <c r="A529" s="64">
        <v>8047</v>
      </c>
      <c r="B529" s="52">
        <v>0.06</v>
      </c>
      <c r="C529" s="160">
        <v>1</v>
      </c>
      <c r="D529" s="157">
        <v>50000000</v>
      </c>
      <c r="E529" s="26">
        <f>VLOOKUP(8047,季財報!$A:$H,8,0)</f>
        <v>0</v>
      </c>
      <c r="F529" s="160">
        <v>2.9541666666666664E-2</v>
      </c>
      <c r="G529" s="54">
        <v>534999999.99999994</v>
      </c>
      <c r="H529" s="54">
        <v>820941000</v>
      </c>
      <c r="I529" s="65">
        <v>0.65205415340213813</v>
      </c>
      <c r="J529" s="162">
        <v>44.583333333333329</v>
      </c>
    </row>
    <row r="530" spans="1:10" hidden="1">
      <c r="A530" s="64">
        <v>3052</v>
      </c>
      <c r="B530" s="150">
        <v>0.16</v>
      </c>
      <c r="C530" s="159">
        <v>1</v>
      </c>
      <c r="D530" s="152">
        <v>206250000</v>
      </c>
      <c r="E530" s="26">
        <f>VLOOKUP(3052,季財報!$A:$H,8,0)</f>
        <v>2</v>
      </c>
      <c r="F530" s="159">
        <v>0.10160833333333334</v>
      </c>
      <c r="G530" s="152">
        <v>2083125000</v>
      </c>
      <c r="H530" s="152">
        <v>3038626000</v>
      </c>
      <c r="I530" s="150">
        <v>0.65227908229245279</v>
      </c>
      <c r="J530" s="152">
        <v>15.78125</v>
      </c>
    </row>
    <row r="531" spans="1:10" hidden="1">
      <c r="A531" s="64">
        <v>5009</v>
      </c>
      <c r="B531" s="52">
        <v>0.61</v>
      </c>
      <c r="C531" s="160">
        <v>0.9040178571428571</v>
      </c>
      <c r="D531" s="157">
        <v>442622950.81967217</v>
      </c>
      <c r="E531" s="26">
        <f>VLOOKUP(5009,季財報!$A:$H,8,0)</f>
        <v>3</v>
      </c>
      <c r="F531" s="160">
        <v>-2.5675E-2</v>
      </c>
      <c r="G531" s="54">
        <v>7502459016.3934431</v>
      </c>
      <c r="H531" s="54">
        <v>11163980000</v>
      </c>
      <c r="I531" s="65">
        <v>0.6535677998425542</v>
      </c>
      <c r="J531" s="162">
        <v>7.6842744383727997</v>
      </c>
    </row>
    <row r="532" spans="1:10" hidden="1">
      <c r="A532" s="64">
        <v>3171</v>
      </c>
      <c r="B532" s="150">
        <v>0.4</v>
      </c>
      <c r="C532" s="159">
        <v>0.92307692307692313</v>
      </c>
      <c r="D532" s="152">
        <v>57500000</v>
      </c>
      <c r="E532" s="26">
        <f>VLOOKUP(3171,季財報!$A:$H,8,0)</f>
        <v>3</v>
      </c>
      <c r="F532" s="159">
        <v>-2.9583333333333332E-3</v>
      </c>
      <c r="G532" s="152">
        <v>1147125000</v>
      </c>
      <c r="H532" s="152">
        <v>1739157000</v>
      </c>
      <c r="I532" s="150">
        <v>0.65434349461209418</v>
      </c>
      <c r="J532" s="152">
        <v>13.507812499999998</v>
      </c>
    </row>
    <row r="533" spans="1:10" hidden="1">
      <c r="A533" s="64">
        <v>8443</v>
      </c>
      <c r="B533" s="52">
        <v>0.19</v>
      </c>
      <c r="C533" s="160">
        <v>0.6333333333333333</v>
      </c>
      <c r="D533" s="157">
        <v>68421052.631578952</v>
      </c>
      <c r="E533" s="26">
        <f>VLOOKUP(8443,季財報!$A:$H,8,0)</f>
        <v>1</v>
      </c>
      <c r="F533" s="160">
        <v>1.9033333333333336E-2</v>
      </c>
      <c r="G533" s="54">
        <v>1488157894.7368422</v>
      </c>
      <c r="H533" s="54">
        <v>2269608000</v>
      </c>
      <c r="I533" s="65">
        <v>0.65483017792807052</v>
      </c>
      <c r="J533" s="162">
        <v>45.186980609418285</v>
      </c>
    </row>
    <row r="534" spans="1:10" ht="16.5" hidden="1" customHeight="1">
      <c r="A534" s="64">
        <v>1709</v>
      </c>
      <c r="B534" s="150">
        <v>0.59</v>
      </c>
      <c r="C534" s="159">
        <v>0.87763713080168781</v>
      </c>
      <c r="D534" s="152">
        <v>428813559.32203394</v>
      </c>
      <c r="E534" s="26">
        <f>VLOOKUP(1709,季財報!$A:$H,8,0)</f>
        <v>2</v>
      </c>
      <c r="F534" s="159">
        <v>2.031666666666667E-2</v>
      </c>
      <c r="G534" s="152">
        <v>6325000000.000001</v>
      </c>
      <c r="H534" s="152">
        <v>9406262000</v>
      </c>
      <c r="I534" s="150">
        <v>0.65929507024489309</v>
      </c>
      <c r="J534" s="152">
        <v>7.1213942307692308</v>
      </c>
    </row>
    <row r="535" spans="1:10" hidden="1">
      <c r="A535" s="64">
        <v>8084</v>
      </c>
      <c r="B535" s="52">
        <v>-0.53</v>
      </c>
      <c r="C535" s="160">
        <v>1</v>
      </c>
      <c r="D535" s="157">
        <v>54716981.132075466</v>
      </c>
      <c r="E535" s="26">
        <f>VLOOKUP(8084,季財報!$A:$H,8,0)</f>
        <v>1</v>
      </c>
      <c r="F535" s="160">
        <v>0.11300833333333332</v>
      </c>
      <c r="G535" s="54">
        <v>1307735849.0566037</v>
      </c>
      <c r="H535" s="54">
        <v>2062918000</v>
      </c>
      <c r="I535" s="65">
        <v>0.65954928204382735</v>
      </c>
      <c r="J535" s="162">
        <v>0</v>
      </c>
    </row>
    <row r="536" spans="1:10" hidden="1">
      <c r="A536" s="64">
        <v>8411</v>
      </c>
      <c r="B536" s="52">
        <v>0.51</v>
      </c>
      <c r="C536" s="160">
        <v>0.94230769230769229</v>
      </c>
      <c r="D536" s="157">
        <v>152941176.47058824</v>
      </c>
      <c r="E536" s="26">
        <f>VLOOKUP(8411,季財報!$A:$H,8,0)</f>
        <v>5</v>
      </c>
      <c r="F536" s="160">
        <v>7.8024999999999997E-2</v>
      </c>
      <c r="G536" s="54">
        <v>3976470588.2352943</v>
      </c>
      <c r="H536" s="54">
        <v>6186131000</v>
      </c>
      <c r="I536" s="65">
        <v>0.66121735533970338</v>
      </c>
      <c r="J536" s="162">
        <v>13.525410164065626</v>
      </c>
    </row>
    <row r="537" spans="1:10" hidden="1">
      <c r="A537" s="64">
        <v>1513</v>
      </c>
      <c r="B537" s="150">
        <v>0.78</v>
      </c>
      <c r="C537" s="159">
        <v>0.72405660377358494</v>
      </c>
      <c r="D537" s="152">
        <v>407692307.69230765</v>
      </c>
      <c r="E537" s="26">
        <f>VLOOKUP(1513,季財報!$A:$H,8,0)</f>
        <v>2</v>
      </c>
      <c r="F537" s="159">
        <v>2.5249999999999998E-2</v>
      </c>
      <c r="G537" s="152">
        <v>6991923076.9230757</v>
      </c>
      <c r="H537" s="152">
        <v>10314427000</v>
      </c>
      <c r="I537" s="150">
        <v>0.66331958646455269</v>
      </c>
      <c r="J537" s="152">
        <v>7.5916645786352612</v>
      </c>
    </row>
    <row r="538" spans="1:10" hidden="1">
      <c r="A538" s="64">
        <v>4433</v>
      </c>
      <c r="B538" s="52">
        <v>0.18</v>
      </c>
      <c r="C538" s="160">
        <v>0.125</v>
      </c>
      <c r="D538" s="157">
        <v>27777777.77777778</v>
      </c>
      <c r="E538" s="26">
        <f>VLOOKUP(4433,季財報!$A:$H,8,0)</f>
        <v>2</v>
      </c>
      <c r="F538" s="160">
        <v>2.3183333333333334E-2</v>
      </c>
      <c r="G538" s="54">
        <v>959722222.22222221</v>
      </c>
      <c r="H538" s="54">
        <v>1455624000</v>
      </c>
      <c r="I538" s="65">
        <v>0.66376661174406204</v>
      </c>
      <c r="J538" s="162">
        <v>50</v>
      </c>
    </row>
    <row r="539" spans="1:10" hidden="1">
      <c r="A539" s="64">
        <v>6609</v>
      </c>
      <c r="B539" s="52">
        <v>1.27</v>
      </c>
      <c r="C539" s="160">
        <v>1</v>
      </c>
      <c r="D539" s="157">
        <v>70866141.732283458</v>
      </c>
      <c r="E539" s="26">
        <f>VLOOKUP(6609,季財報!$A:$H,8,0)</f>
        <v>2</v>
      </c>
      <c r="F539" s="160">
        <v>3.3099999999999997E-2</v>
      </c>
      <c r="G539" s="54">
        <v>1849606299.2125983</v>
      </c>
      <c r="H539" s="54">
        <v>2765991000</v>
      </c>
      <c r="I539" s="65">
        <v>0.66414798040332002</v>
      </c>
      <c r="J539" s="162">
        <v>5.1377952755905518</v>
      </c>
    </row>
    <row r="540" spans="1:10" hidden="1">
      <c r="A540" s="64">
        <v>4534</v>
      </c>
      <c r="B540" s="52">
        <v>0.43</v>
      </c>
      <c r="C540" s="160">
        <v>0.38461538461538464</v>
      </c>
      <c r="D540" s="157">
        <v>76744186.046511635</v>
      </c>
      <c r="E540" s="26">
        <f>VLOOKUP(4534,季財報!$A:$H,8,0)</f>
        <v>4</v>
      </c>
      <c r="F540" s="160">
        <v>5.8700000000000002E-2</v>
      </c>
      <c r="G540" s="54">
        <v>764372093.02325594</v>
      </c>
      <c r="H540" s="54">
        <v>1173406000</v>
      </c>
      <c r="I540" s="65">
        <v>0.66435711543692022</v>
      </c>
      <c r="J540" s="162">
        <v>15.055813953488373</v>
      </c>
    </row>
    <row r="541" spans="1:10" hidden="1">
      <c r="A541" s="64">
        <v>2061</v>
      </c>
      <c r="B541" s="150">
        <v>-0.43</v>
      </c>
      <c r="C541" s="159">
        <v>0.52830188679245282</v>
      </c>
      <c r="D541" s="152">
        <v>60465116.279069766</v>
      </c>
      <c r="E541" s="26">
        <f>VLOOKUP(2061,季財報!$A:$H,8,0)</f>
        <v>0</v>
      </c>
      <c r="F541" s="159">
        <v>2.8275000000000012E-2</v>
      </c>
      <c r="G541" s="152">
        <v>740697674.41860461</v>
      </c>
      <c r="H541" s="152">
        <v>1100770000</v>
      </c>
      <c r="I541" s="150">
        <v>0.66455555692801982</v>
      </c>
      <c r="J541" s="152">
        <v>0</v>
      </c>
    </row>
    <row r="542" spans="1:10" hidden="1">
      <c r="A542" s="64">
        <v>1445</v>
      </c>
      <c r="B542" s="155">
        <v>0.22</v>
      </c>
      <c r="C542" s="159">
        <v>1</v>
      </c>
      <c r="D542" s="156">
        <v>136363636.36363637</v>
      </c>
      <c r="E542" s="26">
        <f>VLOOKUP(1445,季財報!$A:$H,8,0)</f>
        <v>2</v>
      </c>
      <c r="F542" s="159">
        <v>9.333333333333317E-4</v>
      </c>
      <c r="G542" s="156">
        <v>1247727272.727273</v>
      </c>
      <c r="H542" s="156">
        <v>1855119000</v>
      </c>
      <c r="I542" s="155">
        <v>0.66504735912479873</v>
      </c>
      <c r="J542" s="156">
        <v>10.397727272727273</v>
      </c>
    </row>
    <row r="543" spans="1:10" hidden="1">
      <c r="A543" s="64">
        <v>2406</v>
      </c>
      <c r="B543" s="150">
        <v>0.44</v>
      </c>
      <c r="C543" s="159">
        <v>1</v>
      </c>
      <c r="D543" s="152">
        <v>304545454.54545456</v>
      </c>
      <c r="E543" s="26">
        <f>VLOOKUP(2406,季財報!$A:$H,8,0)</f>
        <v>5</v>
      </c>
      <c r="F543" s="159">
        <v>4.9016666666666674E-2</v>
      </c>
      <c r="G543" s="152">
        <v>11511818181.818182</v>
      </c>
      <c r="H543" s="152">
        <v>18087389000</v>
      </c>
      <c r="I543" s="150">
        <v>0.66632629283455136</v>
      </c>
      <c r="J543" s="152">
        <v>21.477272727272727</v>
      </c>
    </row>
    <row r="544" spans="1:10" hidden="1">
      <c r="A544" s="64">
        <v>5538</v>
      </c>
      <c r="B544" s="52">
        <v>0.31</v>
      </c>
      <c r="C544" s="160">
        <v>1</v>
      </c>
      <c r="D544" s="157">
        <v>164516129.03225806</v>
      </c>
      <c r="E544" s="26">
        <f>VLOOKUP(5538,季財報!$A:$H,8,0)</f>
        <v>1</v>
      </c>
      <c r="F544" s="160">
        <v>2.5783333333333335E-2</v>
      </c>
      <c r="G544" s="54">
        <v>4096451612.9032254</v>
      </c>
      <c r="H544" s="54">
        <v>6110199000</v>
      </c>
      <c r="I544" s="65">
        <v>0.66764546994031548</v>
      </c>
      <c r="J544" s="162">
        <v>20.08064516129032</v>
      </c>
    </row>
    <row r="545" spans="1:10" hidden="1">
      <c r="A545" s="64">
        <v>1902</v>
      </c>
      <c r="B545" s="150">
        <v>0.18</v>
      </c>
      <c r="C545" s="159">
        <v>1</v>
      </c>
      <c r="D545" s="152">
        <v>400000000</v>
      </c>
      <c r="E545" s="26">
        <f>VLOOKUP(1902,季財報!$A:$H,8,0)</f>
        <v>3</v>
      </c>
      <c r="F545" s="159">
        <v>1.5133333333333334E-2</v>
      </c>
      <c r="G545" s="152">
        <v>4240000000</v>
      </c>
      <c r="H545" s="152">
        <v>6306304000</v>
      </c>
      <c r="I545" s="150">
        <v>0.6689023359994245</v>
      </c>
      <c r="J545" s="152">
        <v>14.722222222222221</v>
      </c>
    </row>
    <row r="546" spans="1:10" hidden="1">
      <c r="A546" s="64">
        <v>8054</v>
      </c>
      <c r="B546" s="52">
        <v>0.17</v>
      </c>
      <c r="C546" s="160">
        <v>0</v>
      </c>
      <c r="D546" s="157">
        <v>76470588.235294119</v>
      </c>
      <c r="E546" s="26">
        <f>VLOOKUP(8054,季財報!$A:$H,8,0)</f>
        <v>1</v>
      </c>
      <c r="F546" s="160">
        <v>-5.3333333333333384E-3</v>
      </c>
      <c r="G546" s="54">
        <v>1586764705.8823531</v>
      </c>
      <c r="H546" s="54">
        <v>2319061000</v>
      </c>
      <c r="I546" s="65">
        <v>0.67087461108546997</v>
      </c>
      <c r="J546" s="162">
        <v>0</v>
      </c>
    </row>
    <row r="547" spans="1:10" hidden="1">
      <c r="A547" s="64">
        <v>6180</v>
      </c>
      <c r="B547" s="52">
        <v>0.17</v>
      </c>
      <c r="C547" s="160">
        <v>0.36065573770491804</v>
      </c>
      <c r="D547" s="157">
        <v>152941176.47058824</v>
      </c>
      <c r="E547" s="26">
        <f>VLOOKUP(6180,季財報!$A:$H,8,0)</f>
        <v>2</v>
      </c>
      <c r="F547" s="160">
        <v>1.5633333333333336E-2</v>
      </c>
      <c r="G547" s="54">
        <v>6469411764.7058821</v>
      </c>
      <c r="H547" s="54">
        <v>9685801000</v>
      </c>
      <c r="I547" s="65">
        <v>0.67137144337498311</v>
      </c>
      <c r="J547" s="162">
        <v>50</v>
      </c>
    </row>
    <row r="548" spans="1:10" hidden="1">
      <c r="A548" s="64">
        <v>8027</v>
      </c>
      <c r="B548" s="52">
        <v>0.18</v>
      </c>
      <c r="C548" s="160">
        <v>0</v>
      </c>
      <c r="D548" s="157">
        <v>55555555.55555556</v>
      </c>
      <c r="E548" s="26">
        <f>VLOOKUP(8027,季財報!$A:$H,8,0)</f>
        <v>2</v>
      </c>
      <c r="F548" s="160">
        <v>3.9300000000000002E-2</v>
      </c>
      <c r="G548" s="54">
        <v>1111111111.1111112</v>
      </c>
      <c r="H548" s="54">
        <v>1581749000</v>
      </c>
      <c r="I548" s="65">
        <v>0.67298505414602205</v>
      </c>
      <c r="J548" s="162">
        <v>0</v>
      </c>
    </row>
    <row r="549" spans="1:10" hidden="1">
      <c r="A549" s="64">
        <v>3224</v>
      </c>
      <c r="B549" s="150">
        <v>0.3</v>
      </c>
      <c r="C549" s="159">
        <v>0</v>
      </c>
      <c r="D549" s="152">
        <v>40000000</v>
      </c>
      <c r="E549" s="26">
        <f>VLOOKUP(3224,季財報!$A:$H,8,0)</f>
        <v>2</v>
      </c>
      <c r="F549" s="159">
        <v>3.0083333333333333E-2</v>
      </c>
      <c r="G549" s="152">
        <v>1436000000</v>
      </c>
      <c r="H549" s="152">
        <v>2136464000</v>
      </c>
      <c r="I549" s="150">
        <v>0.67603225558915314</v>
      </c>
      <c r="J549" s="152">
        <v>0</v>
      </c>
    </row>
    <row r="550" spans="1:10" hidden="1">
      <c r="A550" s="64">
        <v>8291</v>
      </c>
      <c r="B550" s="52">
        <v>-0.26</v>
      </c>
      <c r="C550" s="160">
        <v>1</v>
      </c>
      <c r="D550" s="157">
        <v>76923076.923076928</v>
      </c>
      <c r="E550" s="26">
        <f>VLOOKUP(8291,季財報!$A:$H,8,0)</f>
        <v>0</v>
      </c>
      <c r="F550" s="160">
        <v>3.0908333333333333E-2</v>
      </c>
      <c r="G550" s="54">
        <v>360769230.76923084</v>
      </c>
      <c r="H550" s="54">
        <v>543899000</v>
      </c>
      <c r="I550" s="65">
        <v>0.67651249586375373</v>
      </c>
      <c r="J550" s="162">
        <v>0</v>
      </c>
    </row>
    <row r="551" spans="1:10" hidden="1">
      <c r="A551" s="64">
        <v>8426</v>
      </c>
      <c r="B551" s="52">
        <v>0.88</v>
      </c>
      <c r="C551" s="160">
        <v>0.9285714285714286</v>
      </c>
      <c r="D551" s="157">
        <v>47727272.727272727</v>
      </c>
      <c r="E551" s="26">
        <f>VLOOKUP(8426,季財報!$A:$H,8,0)</f>
        <v>4</v>
      </c>
      <c r="F551" s="160">
        <v>1.5966666666666667E-2</v>
      </c>
      <c r="G551" s="54">
        <v>1181250000</v>
      </c>
      <c r="H551" s="54">
        <v>1739036000</v>
      </c>
      <c r="I551" s="65">
        <v>0.68282754478626129</v>
      </c>
      <c r="J551" s="162">
        <v>7.5721153846153841</v>
      </c>
    </row>
    <row r="552" spans="1:10" hidden="1">
      <c r="A552" s="64">
        <v>5516</v>
      </c>
      <c r="B552" s="52">
        <v>-0.11</v>
      </c>
      <c r="C552" s="160">
        <v>0</v>
      </c>
      <c r="D552" s="157">
        <v>36363636.363636367</v>
      </c>
      <c r="E552" s="26">
        <f>VLOOKUP(5516,季財報!$A:$H,8,0)</f>
        <v>1</v>
      </c>
      <c r="F552" s="160">
        <v>0.21625000000000003</v>
      </c>
      <c r="G552" s="54">
        <v>359272727.27272731</v>
      </c>
      <c r="H552" s="54">
        <v>529695000</v>
      </c>
      <c r="I552" s="65">
        <v>0.6838210229976347</v>
      </c>
      <c r="J552" s="162">
        <v>0</v>
      </c>
    </row>
    <row r="553" spans="1:10" hidden="1">
      <c r="A553" s="64">
        <v>6432</v>
      </c>
      <c r="B553" s="52">
        <v>1.58</v>
      </c>
      <c r="C553" s="160">
        <v>0.65853658536585369</v>
      </c>
      <c r="D553" s="157">
        <v>18987341.772151899</v>
      </c>
      <c r="E553" s="26">
        <f>VLOOKUP(6432,季財報!$A:$H,8,0)</f>
        <v>6</v>
      </c>
      <c r="F553" s="160">
        <v>4.6008333333333325E-2</v>
      </c>
      <c r="G553" s="54">
        <v>655063291.1392405</v>
      </c>
      <c r="H553" s="54">
        <v>975817000</v>
      </c>
      <c r="I553" s="65">
        <v>0.68409133892379381</v>
      </c>
      <c r="J553" s="162">
        <v>8.2893811533052038</v>
      </c>
    </row>
    <row r="554" spans="1:10" hidden="1">
      <c r="A554" s="64">
        <v>3268</v>
      </c>
      <c r="B554" s="150">
        <v>0.47</v>
      </c>
      <c r="C554" s="159">
        <v>1</v>
      </c>
      <c r="D554" s="152">
        <v>34042553.191489361</v>
      </c>
      <c r="E554" s="26">
        <f>VLOOKUP(3268,季財報!$A:$H,8,0)</f>
        <v>2</v>
      </c>
      <c r="F554" s="159">
        <v>9.0549999999999978E-2</v>
      </c>
      <c r="G554" s="152">
        <v>537872340.42553198</v>
      </c>
      <c r="H554" s="152">
        <v>780712000</v>
      </c>
      <c r="I554" s="150">
        <v>0.68442828457282678</v>
      </c>
      <c r="J554" s="152">
        <v>8.4042553191489375</v>
      </c>
    </row>
    <row r="555" spans="1:10" hidden="1">
      <c r="A555" s="64">
        <v>2489</v>
      </c>
      <c r="B555" s="150">
        <v>0.61</v>
      </c>
      <c r="C555" s="159">
        <v>0</v>
      </c>
      <c r="D555" s="152">
        <v>834426229.50819671</v>
      </c>
      <c r="E555" s="26">
        <f>VLOOKUP(2489,季財報!$A:$H,8,0)</f>
        <v>2</v>
      </c>
      <c r="F555" s="159">
        <v>7.2791666666666685E-2</v>
      </c>
      <c r="G555" s="152">
        <v>13142213114.754099</v>
      </c>
      <c r="H555" s="152">
        <v>20032791000</v>
      </c>
      <c r="I555" s="150">
        <v>0.68554185904096732</v>
      </c>
      <c r="J555" s="152">
        <v>0</v>
      </c>
    </row>
    <row r="556" spans="1:10" hidden="1">
      <c r="A556" s="64">
        <v>4712</v>
      </c>
      <c r="B556" s="52">
        <v>-7.0000000000000007E-2</v>
      </c>
      <c r="C556" s="160">
        <v>1</v>
      </c>
      <c r="D556" s="157">
        <v>99999999.999999985</v>
      </c>
      <c r="E556" s="26">
        <f>VLOOKUP(4712,季財報!$A:$H,8,0)</f>
        <v>2</v>
      </c>
      <c r="F556" s="160">
        <v>-4.6666666666666655E-2</v>
      </c>
      <c r="G556" s="54">
        <v>813000000</v>
      </c>
      <c r="H556" s="54">
        <v>1123246000</v>
      </c>
      <c r="I556" s="65">
        <v>0.68581840574636532</v>
      </c>
      <c r="J556" s="162">
        <v>0</v>
      </c>
    </row>
    <row r="557" spans="1:10" hidden="1">
      <c r="A557" s="64">
        <v>2477</v>
      </c>
      <c r="B557" s="150">
        <v>0.63</v>
      </c>
      <c r="C557" s="159">
        <v>0.47530864197530864</v>
      </c>
      <c r="D557" s="152">
        <v>238095238.09523809</v>
      </c>
      <c r="E557" s="26">
        <f>VLOOKUP(2477,季財報!$A:$H,8,0)</f>
        <v>4</v>
      </c>
      <c r="F557" s="159">
        <v>2.7425000000000008E-2</v>
      </c>
      <c r="G557" s="152">
        <v>2833333333.3333335</v>
      </c>
      <c r="H557" s="152">
        <v>4138319000</v>
      </c>
      <c r="I557" s="150">
        <v>0.68871410675279321</v>
      </c>
      <c r="J557" s="152">
        <v>9.9350649350649345</v>
      </c>
    </row>
    <row r="558" spans="1:10" hidden="1">
      <c r="A558" s="64">
        <v>3527</v>
      </c>
      <c r="B558" s="150">
        <v>1.59</v>
      </c>
      <c r="C558" s="159">
        <v>0.86363636363636365</v>
      </c>
      <c r="D558" s="152">
        <v>32704402.515723269</v>
      </c>
      <c r="E558" s="26">
        <f>VLOOKUP(3527,季財報!$A:$H,8,0)</f>
        <v>1</v>
      </c>
      <c r="F558" s="159">
        <v>2.4191666666666667E-2</v>
      </c>
      <c r="G558" s="152">
        <v>1429182389.9371071</v>
      </c>
      <c r="H558" s="152">
        <v>2068109000</v>
      </c>
      <c r="I558" s="150">
        <v>0.68918507631526749</v>
      </c>
      <c r="J558" s="152">
        <v>7.9559748427672954</v>
      </c>
    </row>
    <row r="559" spans="1:10" hidden="1">
      <c r="A559" s="64">
        <v>3021</v>
      </c>
      <c r="B559" s="150">
        <v>0.28999999999999998</v>
      </c>
      <c r="C559" s="159">
        <v>0.660377358490566</v>
      </c>
      <c r="D559" s="152">
        <v>103448275.86206897</v>
      </c>
      <c r="E559" s="26">
        <f>VLOOKUP(3021,季財報!$A:$H,8,0)</f>
        <v>3</v>
      </c>
      <c r="F559" s="159">
        <v>3.8491666666666674E-2</v>
      </c>
      <c r="G559" s="152">
        <v>1210344827.5862069</v>
      </c>
      <c r="H559" s="152">
        <v>1767287000</v>
      </c>
      <c r="I559" s="150">
        <v>0.69167739275694751</v>
      </c>
      <c r="J559" s="152">
        <v>15.273399014778326</v>
      </c>
    </row>
    <row r="560" spans="1:10" hidden="1">
      <c r="A560" s="64">
        <v>2020</v>
      </c>
      <c r="B560" s="150">
        <v>-1.84</v>
      </c>
      <c r="C560" s="159">
        <v>0</v>
      </c>
      <c r="D560" s="152">
        <v>257065217.39130434</v>
      </c>
      <c r="E560" s="26">
        <f>VLOOKUP(2020,季財報!$A:$H,8,0)</f>
        <v>0</v>
      </c>
      <c r="F560" s="159">
        <v>1.5008333333333332E-2</v>
      </c>
      <c r="G560" s="152">
        <v>3200461956.521739</v>
      </c>
      <c r="H560" s="152">
        <v>4552508000</v>
      </c>
      <c r="I560" s="150">
        <v>0.69180823952688419</v>
      </c>
      <c r="J560" s="152">
        <v>0</v>
      </c>
    </row>
    <row r="561" spans="1:10" hidden="1">
      <c r="A561" s="64">
        <v>2393</v>
      </c>
      <c r="B561" s="150">
        <v>0.96</v>
      </c>
      <c r="C561" s="159">
        <v>0.8559670781893004</v>
      </c>
      <c r="D561" s="152">
        <v>431250000</v>
      </c>
      <c r="E561" s="26">
        <f>VLOOKUP(2393,季財報!$A:$H,8,0)</f>
        <v>2</v>
      </c>
      <c r="F561" s="159">
        <v>-2.9833333333333339E-3</v>
      </c>
      <c r="G561" s="152">
        <v>20117812500</v>
      </c>
      <c r="H561" s="152">
        <v>28865587000</v>
      </c>
      <c r="I561" s="150">
        <v>0.69203326345055449</v>
      </c>
      <c r="J561" s="152">
        <v>14.192645733173077</v>
      </c>
    </row>
    <row r="562" spans="1:10" hidden="1">
      <c r="A562" s="64">
        <v>3115</v>
      </c>
      <c r="B562" s="150">
        <v>-0.09</v>
      </c>
      <c r="C562" s="159">
        <v>0</v>
      </c>
      <c r="D562" s="152">
        <v>44444444.444444448</v>
      </c>
      <c r="E562" s="26">
        <f>VLOOKUP(3115,季財報!$A:$H,8,0)</f>
        <v>1</v>
      </c>
      <c r="F562" s="159">
        <v>5.3783333333333322E-2</v>
      </c>
      <c r="G562" s="152">
        <v>620000000</v>
      </c>
      <c r="H562" s="152">
        <v>901065000</v>
      </c>
      <c r="I562" s="150">
        <v>0.6950976556149876</v>
      </c>
      <c r="J562" s="152">
        <v>0</v>
      </c>
    </row>
    <row r="563" spans="1:10" hidden="1">
      <c r="A563" s="64">
        <v>6456</v>
      </c>
      <c r="B563" s="52">
        <v>3.11</v>
      </c>
      <c r="C563" s="160">
        <v>1</v>
      </c>
      <c r="D563" s="157">
        <v>307395498.39228296</v>
      </c>
      <c r="E563" s="26">
        <f>VLOOKUP(6456,季財報!$A:$H,8,0)</f>
        <v>4</v>
      </c>
      <c r="F563" s="160">
        <v>3.0799999999999994E-2</v>
      </c>
      <c r="G563" s="54">
        <v>38117041800.643089</v>
      </c>
      <c r="H563" s="54">
        <v>68868684000</v>
      </c>
      <c r="I563" s="65">
        <v>0.69556168374908756</v>
      </c>
      <c r="J563" s="162">
        <v>9.9678456591639879</v>
      </c>
    </row>
    <row r="564" spans="1:10" hidden="1">
      <c r="A564" s="64">
        <v>3698</v>
      </c>
      <c r="B564" s="150">
        <v>0.06</v>
      </c>
      <c r="C564" s="159">
        <v>0</v>
      </c>
      <c r="D564" s="152">
        <v>600000000</v>
      </c>
      <c r="E564" s="26">
        <f>VLOOKUP(3698,季財報!$A:$H,8,0)</f>
        <v>1</v>
      </c>
      <c r="F564" s="159">
        <v>9.8416666666666635E-3</v>
      </c>
      <c r="G564" s="152">
        <v>9840000000</v>
      </c>
      <c r="H564" s="152">
        <v>14218999000</v>
      </c>
      <c r="I564" s="150">
        <v>0.69586302360687025</v>
      </c>
      <c r="J564" s="152">
        <v>0</v>
      </c>
    </row>
    <row r="565" spans="1:10" hidden="1">
      <c r="A565" s="64">
        <v>4739</v>
      </c>
      <c r="B565" s="52">
        <v>0.15</v>
      </c>
      <c r="C565" s="160">
        <v>1</v>
      </c>
      <c r="D565" s="157">
        <v>66666666.666666672</v>
      </c>
      <c r="E565" s="26">
        <f>VLOOKUP(4739,季財報!$A:$H,8,0)</f>
        <v>1</v>
      </c>
      <c r="F565" s="160">
        <v>3.0558333333333337E-2</v>
      </c>
      <c r="G565" s="54">
        <v>2630000000.0000005</v>
      </c>
      <c r="H565" s="54">
        <v>3867769000</v>
      </c>
      <c r="I565" s="65">
        <v>0.6964109152745952</v>
      </c>
      <c r="J565" s="162">
        <v>50</v>
      </c>
    </row>
    <row r="566" spans="1:10" hidden="1">
      <c r="A566" s="64">
        <v>3044</v>
      </c>
      <c r="B566" s="150">
        <v>1.81</v>
      </c>
      <c r="C566" s="159">
        <v>0.72535690006798093</v>
      </c>
      <c r="D566" s="152">
        <v>524309392.26519334</v>
      </c>
      <c r="E566" s="26">
        <f>VLOOKUP(3044,季財報!$A:$H,8,0)</f>
        <v>5</v>
      </c>
      <c r="F566" s="159">
        <v>7.566666666666666E-3</v>
      </c>
      <c r="G566" s="152">
        <v>30147790055.248619</v>
      </c>
      <c r="H566" s="152">
        <v>43420650000</v>
      </c>
      <c r="I566" s="150">
        <v>0.69653067077652087</v>
      </c>
      <c r="J566" s="152">
        <v>10.949077550005955</v>
      </c>
    </row>
    <row r="567" spans="1:10" hidden="1">
      <c r="A567" s="64">
        <v>6201</v>
      </c>
      <c r="B567" s="52">
        <v>0.89</v>
      </c>
      <c r="C567" s="160">
        <v>0.55813953488372092</v>
      </c>
      <c r="D567" s="157">
        <v>88764044.943820223</v>
      </c>
      <c r="E567" s="26">
        <f>VLOOKUP(6201,季財報!$A:$H,8,0)</f>
        <v>3</v>
      </c>
      <c r="F567" s="160">
        <v>-9.7666666666666631E-3</v>
      </c>
      <c r="G567" s="54">
        <v>2254606741.5730333</v>
      </c>
      <c r="H567" s="54">
        <v>3174776000</v>
      </c>
      <c r="I567" s="65">
        <v>0.69670985627753401</v>
      </c>
      <c r="J567" s="162">
        <v>12.783239700374532</v>
      </c>
    </row>
    <row r="568" spans="1:10" hidden="1">
      <c r="A568" s="64">
        <v>2480</v>
      </c>
      <c r="B568" s="150">
        <v>0.55000000000000004</v>
      </c>
      <c r="C568" s="159">
        <v>0.86259541984732824</v>
      </c>
      <c r="D568" s="152">
        <v>132727272.72727272</v>
      </c>
      <c r="E568" s="26">
        <f>VLOOKUP(2480,季財報!$A:$H,8,0)</f>
        <v>3</v>
      </c>
      <c r="F568" s="159">
        <v>-1.4683333333333335E-2</v>
      </c>
      <c r="G568" s="152">
        <v>3245181818.181818</v>
      </c>
      <c r="H568" s="152">
        <v>4497265000</v>
      </c>
      <c r="I568" s="150">
        <v>0.69954053177661446</v>
      </c>
      <c r="J568" s="152">
        <v>12.883950120675784</v>
      </c>
    </row>
    <row r="569" spans="1:10" hidden="1">
      <c r="A569" s="64">
        <v>1323</v>
      </c>
      <c r="B569" s="150">
        <v>0.69</v>
      </c>
      <c r="C569" s="159">
        <v>0.79611650485436891</v>
      </c>
      <c r="D569" s="152">
        <v>91304347.826086968</v>
      </c>
      <c r="E569" s="26">
        <f>VLOOKUP(1323,季財報!$A:$H,8,0)</f>
        <v>2</v>
      </c>
      <c r="F569" s="159">
        <v>5.7250000000000009E-3</v>
      </c>
      <c r="G569" s="152">
        <v>2227826086.956522</v>
      </c>
      <c r="H569" s="152">
        <v>3163992000</v>
      </c>
      <c r="I569" s="150">
        <v>0.70135013733952278</v>
      </c>
      <c r="J569" s="152">
        <v>11.104630611523508</v>
      </c>
    </row>
    <row r="570" spans="1:10" hidden="1">
      <c r="A570" s="64">
        <v>1535</v>
      </c>
      <c r="B570" s="150">
        <v>1.01</v>
      </c>
      <c r="C570" s="159">
        <v>0.46558704453441296</v>
      </c>
      <c r="D570" s="152">
        <v>123762376.23762377</v>
      </c>
      <c r="E570" s="26">
        <f>VLOOKUP(1535,季財報!$A:$H,8,0)</f>
        <v>1</v>
      </c>
      <c r="F570" s="159">
        <v>2.7400000000000008E-2</v>
      </c>
      <c r="G570" s="152">
        <v>7178217821.7821789</v>
      </c>
      <c r="H570" s="152">
        <v>10064728000</v>
      </c>
      <c r="I570" s="150">
        <v>0.70180703686195389</v>
      </c>
      <c r="J570" s="152">
        <v>30.835126990959964</v>
      </c>
    </row>
    <row r="571" spans="1:10" hidden="1">
      <c r="A571" s="64">
        <v>1802</v>
      </c>
      <c r="B571" s="150">
        <v>-0.61</v>
      </c>
      <c r="C571" s="159">
        <v>0.56712962962962965</v>
      </c>
      <c r="D571" s="152">
        <v>2359016393.4426231</v>
      </c>
      <c r="E571" s="26">
        <f>VLOOKUP(1802,季財報!$A:$H,8,0)</f>
        <v>3</v>
      </c>
      <c r="F571" s="159">
        <v>3.3574999999999994E-2</v>
      </c>
      <c r="G571" s="152">
        <v>28662049180.327873</v>
      </c>
      <c r="H571" s="152">
        <v>41090635000</v>
      </c>
      <c r="I571" s="150">
        <v>0.70216451063337848</v>
      </c>
      <c r="J571" s="152">
        <v>0</v>
      </c>
    </row>
    <row r="572" spans="1:10" hidden="1">
      <c r="A572" s="64">
        <v>1459</v>
      </c>
      <c r="B572" s="150">
        <v>0.13</v>
      </c>
      <c r="C572" s="159">
        <v>0.28205128205128205</v>
      </c>
      <c r="D572" s="152">
        <v>300000000</v>
      </c>
      <c r="E572" s="26">
        <f>VLOOKUP(1459,季財報!$A:$H,8,0)</f>
        <v>1</v>
      </c>
      <c r="F572" s="159">
        <v>1.1499999999999972E-3</v>
      </c>
      <c r="G572" s="152">
        <v>2823000000</v>
      </c>
      <c r="H572" s="152">
        <v>3957718000</v>
      </c>
      <c r="I572" s="150">
        <v>0.70237316541398098</v>
      </c>
      <c r="J572" s="152">
        <v>50</v>
      </c>
    </row>
    <row r="573" spans="1:10" hidden="1">
      <c r="A573" s="64">
        <v>3303</v>
      </c>
      <c r="B573" s="150">
        <v>0.76</v>
      </c>
      <c r="C573" s="159">
        <v>0.81132075471698117</v>
      </c>
      <c r="D573" s="152">
        <v>97368421.052631572</v>
      </c>
      <c r="E573" s="26">
        <f>VLOOKUP(3303,季財報!$A:$H,8,0)</f>
        <v>5</v>
      </c>
      <c r="F573" s="159">
        <v>3.3916666666666664E-2</v>
      </c>
      <c r="G573" s="152">
        <v>1669868421.0526314</v>
      </c>
      <c r="H573" s="152">
        <v>2406817000</v>
      </c>
      <c r="I573" s="150">
        <v>0.704869266440316</v>
      </c>
      <c r="J573" s="152">
        <v>6.9534118727050176</v>
      </c>
    </row>
    <row r="574" spans="1:10" hidden="1">
      <c r="A574" s="64">
        <v>2727</v>
      </c>
      <c r="B574" s="150">
        <v>-0.04</v>
      </c>
      <c r="C574" s="159">
        <v>1</v>
      </c>
      <c r="D574" s="152">
        <v>75000000</v>
      </c>
      <c r="E574" s="26">
        <f>VLOOKUP(2727,季財報!$A:$H,8,0)</f>
        <v>1</v>
      </c>
      <c r="F574" s="159">
        <v>1.3225000000000002E-2</v>
      </c>
      <c r="G574" s="152">
        <v>11850000000</v>
      </c>
      <c r="H574" s="152">
        <v>16779924000</v>
      </c>
      <c r="I574" s="150">
        <v>0.70820103371054854</v>
      </c>
      <c r="J574" s="152">
        <v>0</v>
      </c>
    </row>
    <row r="575" spans="1:10" hidden="1">
      <c r="A575" s="64">
        <v>3573</v>
      </c>
      <c r="B575" s="150">
        <v>0.39</v>
      </c>
      <c r="C575" s="159">
        <v>1</v>
      </c>
      <c r="D575" s="152">
        <v>125641025.64102563</v>
      </c>
      <c r="E575" s="26">
        <f>VLOOKUP(3573,季財報!$A:$H,8,0)</f>
        <v>4</v>
      </c>
      <c r="F575" s="159">
        <v>4.6483333333333342E-2</v>
      </c>
      <c r="G575" s="152">
        <v>2324358974.358974</v>
      </c>
      <c r="H575" s="152">
        <v>3369801000</v>
      </c>
      <c r="I575" s="150">
        <v>0.70892051933491751</v>
      </c>
      <c r="J575" s="152">
        <v>11.858974358974358</v>
      </c>
    </row>
    <row r="576" spans="1:10" hidden="1">
      <c r="A576" s="64">
        <v>1530</v>
      </c>
      <c r="B576" s="150">
        <v>1.75</v>
      </c>
      <c r="C576" s="159">
        <v>0.56804733727810652</v>
      </c>
      <c r="D576" s="152">
        <v>92000000</v>
      </c>
      <c r="E576" s="26">
        <f>VLOOKUP(1530,季財報!$A:$H,8,0)</f>
        <v>2</v>
      </c>
      <c r="F576" s="159">
        <v>3.2908333333333338E-2</v>
      </c>
      <c r="G576" s="152">
        <v>2787600000</v>
      </c>
      <c r="H576" s="152">
        <v>3892039000</v>
      </c>
      <c r="I576" s="150">
        <v>0.70952168118662895</v>
      </c>
      <c r="J576" s="152">
        <v>7.6200892857142861</v>
      </c>
    </row>
    <row r="577" spans="1:10" hidden="1">
      <c r="A577" s="64">
        <v>2009</v>
      </c>
      <c r="B577" s="150">
        <v>-0.37</v>
      </c>
      <c r="C577" s="159">
        <v>0.59428571428571431</v>
      </c>
      <c r="D577" s="152">
        <v>356756756.75675678</v>
      </c>
      <c r="E577" s="26">
        <f>VLOOKUP(2009,季財報!$A:$H,8,0)</f>
        <v>1</v>
      </c>
      <c r="F577" s="159">
        <v>9.7749999999999972E-3</v>
      </c>
      <c r="G577" s="152">
        <v>2379567567.5675678</v>
      </c>
      <c r="H577" s="152">
        <v>3273632000</v>
      </c>
      <c r="I577" s="150">
        <v>0.70979575869704581</v>
      </c>
      <c r="J577" s="152">
        <v>0</v>
      </c>
    </row>
    <row r="578" spans="1:10" hidden="1">
      <c r="A578" s="64">
        <v>1457</v>
      </c>
      <c r="B578" s="150">
        <v>0.13</v>
      </c>
      <c r="C578" s="159">
        <v>0</v>
      </c>
      <c r="D578" s="152">
        <v>269230769.23076922</v>
      </c>
      <c r="E578" s="26">
        <f>VLOOKUP(1457,季財報!$A:$H,8,0)</f>
        <v>2</v>
      </c>
      <c r="F578" s="159">
        <v>5.2791666666666681E-2</v>
      </c>
      <c r="G578" s="152">
        <v>3015384615.3846149</v>
      </c>
      <c r="H578" s="152">
        <v>4344872000</v>
      </c>
      <c r="I578" s="150">
        <v>0.7107082926096272</v>
      </c>
      <c r="J578" s="152">
        <v>0</v>
      </c>
    </row>
    <row r="579" spans="1:10" hidden="1">
      <c r="A579" s="64">
        <v>1721</v>
      </c>
      <c r="B579" s="150">
        <v>0.3</v>
      </c>
      <c r="C579" s="159">
        <v>0.70270270270270274</v>
      </c>
      <c r="D579" s="152">
        <v>83333333.333333343</v>
      </c>
      <c r="E579" s="26">
        <f>VLOOKUP(1721,季財報!$A:$H,8,0)</f>
        <v>3</v>
      </c>
      <c r="F579" s="159">
        <v>4.4191666666666678E-2</v>
      </c>
      <c r="G579" s="152">
        <v>1029166666.6666667</v>
      </c>
      <c r="H579" s="152">
        <v>1450393000</v>
      </c>
      <c r="I579" s="150">
        <v>0.71099007584508234</v>
      </c>
      <c r="J579" s="152">
        <v>14.645833333333332</v>
      </c>
    </row>
    <row r="580" spans="1:10" hidden="1">
      <c r="A580" s="64">
        <v>5351</v>
      </c>
      <c r="B580" s="52">
        <v>-0.16</v>
      </c>
      <c r="C580" s="160">
        <v>1</v>
      </c>
      <c r="D580" s="157">
        <v>431250000</v>
      </c>
      <c r="E580" s="26">
        <f>VLOOKUP(5351,季財報!$A:$H,8,0)</f>
        <v>0</v>
      </c>
      <c r="F580" s="160">
        <v>-7.7333333333333342E-3</v>
      </c>
      <c r="G580" s="54">
        <v>5433750000</v>
      </c>
      <c r="H580" s="54">
        <v>7539816000</v>
      </c>
      <c r="I580" s="65">
        <v>0.71375803671517479</v>
      </c>
      <c r="J580" s="162">
        <v>0</v>
      </c>
    </row>
    <row r="581" spans="1:10" hidden="1">
      <c r="A581" s="64">
        <v>6158</v>
      </c>
      <c r="B581" s="52">
        <v>0.41</v>
      </c>
      <c r="C581" s="160">
        <v>1</v>
      </c>
      <c r="D581" s="157">
        <v>109756097.56097561</v>
      </c>
      <c r="E581" s="26">
        <f>VLOOKUP(6158,季財報!$A:$H,8,0)</f>
        <v>4</v>
      </c>
      <c r="F581" s="160">
        <v>5.033333333333328E-3</v>
      </c>
      <c r="G581" s="54">
        <v>1618902439.0243902</v>
      </c>
      <c r="H581" s="54">
        <v>2247919000</v>
      </c>
      <c r="I581" s="65">
        <v>0.71545508780404377</v>
      </c>
      <c r="J581" s="162">
        <v>8.9939024390243905</v>
      </c>
    </row>
    <row r="582" spans="1:10" hidden="1">
      <c r="A582" s="64">
        <v>1727</v>
      </c>
      <c r="B582" s="150">
        <v>0.25</v>
      </c>
      <c r="C582" s="159">
        <v>1</v>
      </c>
      <c r="D582" s="152">
        <v>108000000</v>
      </c>
      <c r="E582" s="26">
        <f>VLOOKUP(1727,季財報!$A:$H,8,0)</f>
        <v>2</v>
      </c>
      <c r="F582" s="159">
        <v>1.1474999999999997E-2</v>
      </c>
      <c r="G582" s="152">
        <v>1603800000</v>
      </c>
      <c r="H582" s="152">
        <v>2238064000</v>
      </c>
      <c r="I582" s="150">
        <v>0.71547556060753414</v>
      </c>
      <c r="J582" s="152">
        <v>14.85</v>
      </c>
    </row>
    <row r="583" spans="1:10" hidden="1">
      <c r="A583" s="64">
        <v>3276</v>
      </c>
      <c r="B583" s="150">
        <v>0.16</v>
      </c>
      <c r="C583" s="159">
        <v>0.23076923076923078</v>
      </c>
      <c r="D583" s="152">
        <v>68750000</v>
      </c>
      <c r="E583" s="26">
        <f>VLOOKUP(3276,季財報!$A:$H,8,0)</f>
        <v>2</v>
      </c>
      <c r="F583" s="159">
        <v>8.1000000000000013E-3</v>
      </c>
      <c r="G583" s="152">
        <v>618750000</v>
      </c>
      <c r="H583" s="152">
        <v>848226000</v>
      </c>
      <c r="I583" s="150">
        <v>0.71643771536551926</v>
      </c>
      <c r="J583" s="152">
        <v>50</v>
      </c>
    </row>
    <row r="584" spans="1:10" hidden="1">
      <c r="A584" s="64">
        <v>2345</v>
      </c>
      <c r="B584" s="150">
        <v>0.71</v>
      </c>
      <c r="C584" s="159">
        <v>0.9173553719008265</v>
      </c>
      <c r="D584" s="152">
        <v>535211267.60563385</v>
      </c>
      <c r="E584" s="26">
        <f>VLOOKUP(2345,季財報!$A:$H,8,0)</f>
        <v>4</v>
      </c>
      <c r="F584" s="159">
        <v>4.6141666666666671E-2</v>
      </c>
      <c r="G584" s="152">
        <v>17233802816.901413</v>
      </c>
      <c r="H584" s="152">
        <v>24468210000</v>
      </c>
      <c r="I584" s="150">
        <v>0.71747662228846654</v>
      </c>
      <c r="J584" s="152">
        <v>12.359472148204544</v>
      </c>
    </row>
    <row r="585" spans="1:10" hidden="1">
      <c r="A585" s="64">
        <v>6138</v>
      </c>
      <c r="B585" s="52">
        <v>0.38</v>
      </c>
      <c r="C585" s="160">
        <v>0.47916666666666669</v>
      </c>
      <c r="D585" s="157">
        <v>102631578.94736841</v>
      </c>
      <c r="E585" s="26">
        <f>VLOOKUP(6138,季財報!$A:$H,8,0)</f>
        <v>3</v>
      </c>
      <c r="F585" s="160">
        <v>2.7408333333333337E-2</v>
      </c>
      <c r="G585" s="54">
        <v>2124473684.210526</v>
      </c>
      <c r="H585" s="54">
        <v>3014892000</v>
      </c>
      <c r="I585" s="65">
        <v>0.721698154954038</v>
      </c>
      <c r="J585" s="162">
        <v>28.421052631578945</v>
      </c>
    </row>
    <row r="586" spans="1:10" hidden="1">
      <c r="A586" s="64">
        <v>8941</v>
      </c>
      <c r="B586" s="52">
        <v>2.82</v>
      </c>
      <c r="C586" s="160">
        <v>0.64406779661016944</v>
      </c>
      <c r="D586" s="157">
        <v>21276595.744680852</v>
      </c>
      <c r="E586" s="26">
        <f>VLOOKUP(8941,季財報!$A:$H,8,0)</f>
        <v>1</v>
      </c>
      <c r="F586" s="160">
        <v>2.2250000000000002E-2</v>
      </c>
      <c r="G586" s="54">
        <v>1787234042.5531917</v>
      </c>
      <c r="H586" s="54">
        <v>2492131000</v>
      </c>
      <c r="I586" s="65">
        <v>0.7228340941119149</v>
      </c>
      <c r="J586" s="162">
        <v>11.562150055991042</v>
      </c>
    </row>
    <row r="587" spans="1:10" hidden="1">
      <c r="A587" s="64">
        <v>5353</v>
      </c>
      <c r="B587" s="52">
        <v>0.25</v>
      </c>
      <c r="C587" s="160">
        <v>0</v>
      </c>
      <c r="D587" s="157">
        <v>88000000</v>
      </c>
      <c r="E587" s="26">
        <f>VLOOKUP(5353,季財報!$A:$H,8,0)</f>
        <v>4</v>
      </c>
      <c r="F587" s="160">
        <v>-6.8333333333333039E-4</v>
      </c>
      <c r="G587" s="54">
        <v>804320000</v>
      </c>
      <c r="H587" s="54">
        <v>1082283000</v>
      </c>
      <c r="I587" s="65">
        <v>0.72337570532548845</v>
      </c>
      <c r="J587" s="162">
        <v>0</v>
      </c>
    </row>
    <row r="588" spans="1:10" hidden="1">
      <c r="A588" s="64">
        <v>9802</v>
      </c>
      <c r="B588" s="52">
        <v>0.43</v>
      </c>
      <c r="C588" s="160">
        <v>1</v>
      </c>
      <c r="D588" s="157">
        <v>130232558.13953489</v>
      </c>
      <c r="E588" s="26">
        <f>VLOOKUP(9802,季財報!$A:$H,8,0)</f>
        <v>2</v>
      </c>
      <c r="F588" s="160">
        <v>4.5700000000000011E-2</v>
      </c>
      <c r="G588" s="54">
        <v>6667906976.7441864</v>
      </c>
      <c r="H588" s="54">
        <v>9123402000</v>
      </c>
      <c r="I588" s="65">
        <v>0.72775661601377062</v>
      </c>
      <c r="J588" s="162">
        <v>29.767441860465119</v>
      </c>
    </row>
    <row r="589" spans="1:10" hidden="1">
      <c r="A589" s="64">
        <v>3144</v>
      </c>
      <c r="B589" s="150">
        <v>0.5</v>
      </c>
      <c r="C589" s="159">
        <v>1</v>
      </c>
      <c r="D589" s="152">
        <v>100000000</v>
      </c>
      <c r="E589" s="26">
        <f>VLOOKUP(3144,季財報!$A:$H,8,0)</f>
        <v>2</v>
      </c>
      <c r="F589" s="159">
        <v>1.6816666666666664E-2</v>
      </c>
      <c r="G589" s="152">
        <v>1485000000</v>
      </c>
      <c r="H589" s="152">
        <v>2027534000</v>
      </c>
      <c r="I589" s="150">
        <v>0.72840249805268831</v>
      </c>
      <c r="J589" s="152">
        <v>7.4249999999999998</v>
      </c>
    </row>
    <row r="590" spans="1:10" hidden="1">
      <c r="A590" s="64">
        <v>1539</v>
      </c>
      <c r="B590" s="150">
        <v>1.88</v>
      </c>
      <c r="C590" s="159">
        <v>0.65384615384615385</v>
      </c>
      <c r="D590" s="152">
        <v>65425531.91489362</v>
      </c>
      <c r="E590" s="26">
        <f>VLOOKUP(1539,季財報!$A:$H,8,0)</f>
        <v>4</v>
      </c>
      <c r="F590" s="159">
        <v>9.9583333333333243E-3</v>
      </c>
      <c r="G590" s="152">
        <v>2011835106.3829789</v>
      </c>
      <c r="H590" s="152">
        <v>2731951000</v>
      </c>
      <c r="I590" s="150">
        <v>0.73025291848627027</v>
      </c>
      <c r="J590" s="152">
        <v>6.2539111389236552</v>
      </c>
    </row>
    <row r="591" spans="1:10" hidden="1">
      <c r="A591" s="64">
        <v>6176</v>
      </c>
      <c r="B591" s="52">
        <v>2.78</v>
      </c>
      <c r="C591" s="160">
        <v>0.82658517952635602</v>
      </c>
      <c r="D591" s="157">
        <v>465467625.89928061</v>
      </c>
      <c r="E591" s="26">
        <f>VLOOKUP(6176,季財報!$A:$H,8,0)</f>
        <v>3</v>
      </c>
      <c r="F591" s="160">
        <v>3.540833333333334E-2</v>
      </c>
      <c r="G591" s="54">
        <v>37004676258.992805</v>
      </c>
      <c r="H591" s="54">
        <v>51585206000</v>
      </c>
      <c r="I591" s="65">
        <v>0.73100713572310339</v>
      </c>
      <c r="J591" s="162">
        <v>8.6491758534023067</v>
      </c>
    </row>
    <row r="592" spans="1:10" hidden="1">
      <c r="A592" s="64">
        <v>1517</v>
      </c>
      <c r="B592" s="150">
        <v>0.28000000000000003</v>
      </c>
      <c r="C592" s="159">
        <v>6.7226890756302518E-2</v>
      </c>
      <c r="D592" s="152">
        <v>228571428.57142854</v>
      </c>
      <c r="E592" s="26">
        <f>VLOOKUP(1517,季財報!$A:$H,8,0)</f>
        <v>2</v>
      </c>
      <c r="F592" s="159">
        <v>1.9291666666666662E-2</v>
      </c>
      <c r="G592" s="152">
        <v>2640000000</v>
      </c>
      <c r="H592" s="152">
        <v>3536659000</v>
      </c>
      <c r="I592" s="150">
        <v>0.73483689126139762</v>
      </c>
      <c r="J592" s="152">
        <v>50</v>
      </c>
    </row>
    <row r="593" spans="1:10" hidden="1">
      <c r="A593" s="64">
        <v>8046</v>
      </c>
      <c r="B593" s="52">
        <v>0.67</v>
      </c>
      <c r="C593" s="160">
        <v>0</v>
      </c>
      <c r="D593" s="157">
        <v>646268656.71641791</v>
      </c>
      <c r="E593" s="26">
        <f>VLOOKUP(8046,季財報!$A:$H,8,0)</f>
        <v>2</v>
      </c>
      <c r="F593" s="160">
        <v>-2.0166666666666701E-3</v>
      </c>
      <c r="G593" s="54">
        <v>22425522388.059704</v>
      </c>
      <c r="H593" s="54">
        <v>30134248000</v>
      </c>
      <c r="I593" s="65">
        <v>0.73687129299316956</v>
      </c>
      <c r="J593" s="162">
        <v>0</v>
      </c>
    </row>
    <row r="594" spans="1:10" hidden="1">
      <c r="A594" s="64">
        <v>6105</v>
      </c>
      <c r="B594" s="52">
        <v>1.4</v>
      </c>
      <c r="C594" s="160">
        <v>0.23809523809523808</v>
      </c>
      <c r="D594" s="157">
        <v>103571428.57142858</v>
      </c>
      <c r="E594" s="26">
        <f>VLOOKUP(6105,季財報!$A:$H,8,0)</f>
        <v>2</v>
      </c>
      <c r="F594" s="160">
        <v>-1.5708333333333335E-2</v>
      </c>
      <c r="G594" s="54">
        <v>4329285714.2857141</v>
      </c>
      <c r="H594" s="54">
        <v>5733147000</v>
      </c>
      <c r="I594" s="65">
        <v>0.73696542709268265</v>
      </c>
      <c r="J594" s="162">
        <v>31.349999999999998</v>
      </c>
    </row>
    <row r="595" spans="1:10" hidden="1">
      <c r="A595" s="64">
        <v>9944</v>
      </c>
      <c r="B595" s="52">
        <v>0.16</v>
      </c>
      <c r="C595" s="160">
        <v>0.7192982456140351</v>
      </c>
      <c r="D595" s="157">
        <v>112500000</v>
      </c>
      <c r="E595" s="26">
        <f>VLOOKUP(9944,季財報!$A:$H,8,0)</f>
        <v>2</v>
      </c>
      <c r="F595" s="160">
        <v>7.391666666666667E-3</v>
      </c>
      <c r="G595" s="54">
        <v>2964375000</v>
      </c>
      <c r="H595" s="54">
        <v>4002382000</v>
      </c>
      <c r="I595" s="65">
        <v>0.73706751867921483</v>
      </c>
      <c r="J595" s="162">
        <v>50</v>
      </c>
    </row>
    <row r="596" spans="1:10" hidden="1">
      <c r="A596" s="64">
        <v>4532</v>
      </c>
      <c r="B596" s="52">
        <v>0.5</v>
      </c>
      <c r="C596" s="160">
        <v>0.89312977099236646</v>
      </c>
      <c r="D596" s="157">
        <v>472000000</v>
      </c>
      <c r="E596" s="26">
        <f>VLOOKUP(4532,季財報!$A:$H,8,0)</f>
        <v>2</v>
      </c>
      <c r="F596" s="160">
        <v>1.7908333333333335E-2</v>
      </c>
      <c r="G596" s="54">
        <v>11540400000</v>
      </c>
      <c r="H596" s="54">
        <v>15482580000</v>
      </c>
      <c r="I596" s="65">
        <v>0.74066757507615488</v>
      </c>
      <c r="J596" s="162">
        <v>13.687820512820512</v>
      </c>
    </row>
    <row r="597" spans="1:10" hidden="1">
      <c r="A597" s="64">
        <v>5304</v>
      </c>
      <c r="B597" s="52">
        <v>0.26</v>
      </c>
      <c r="C597" s="160">
        <v>1</v>
      </c>
      <c r="D597" s="157">
        <v>188461538.46153846</v>
      </c>
      <c r="E597" s="26">
        <f>VLOOKUP(5304,季財報!$A:$H,8,0)</f>
        <v>4</v>
      </c>
      <c r="F597" s="160">
        <v>3.7908333333333329E-2</v>
      </c>
      <c r="G597" s="54">
        <v>593653846.15384614</v>
      </c>
      <c r="H597" s="54">
        <v>798279000</v>
      </c>
      <c r="I597" s="65">
        <v>0.74133986794688478</v>
      </c>
      <c r="J597" s="162">
        <v>3.0288461538461537</v>
      </c>
    </row>
    <row r="598" spans="1:10" hidden="1">
      <c r="A598" s="64">
        <v>5340</v>
      </c>
      <c r="B598" s="52">
        <v>-0.1</v>
      </c>
      <c r="C598" s="160">
        <v>1</v>
      </c>
      <c r="D598" s="157">
        <v>190000000</v>
      </c>
      <c r="E598" s="26">
        <f>VLOOKUP(5340,季財報!$A:$H,8,0)</f>
        <v>1</v>
      </c>
      <c r="F598" s="160">
        <v>2.1149999999999999E-2</v>
      </c>
      <c r="G598" s="54">
        <v>691600000</v>
      </c>
      <c r="H598" s="54">
        <v>934445000</v>
      </c>
      <c r="I598" s="65">
        <v>0.74151747326527151</v>
      </c>
      <c r="J598" s="162">
        <v>0</v>
      </c>
    </row>
    <row r="599" spans="1:10" hidden="1">
      <c r="A599" s="64">
        <v>2388</v>
      </c>
      <c r="B599" s="150">
        <v>3.47</v>
      </c>
      <c r="C599" s="159">
        <v>0</v>
      </c>
      <c r="D599" s="152">
        <v>493083573.4870317</v>
      </c>
      <c r="E599" s="26">
        <f>VLOOKUP(2388,季財報!$A:$H,8,0)</f>
        <v>4</v>
      </c>
      <c r="F599" s="159">
        <v>4.1499999999999983E-3</v>
      </c>
      <c r="G599" s="152">
        <v>3594579250.7204609</v>
      </c>
      <c r="H599" s="152">
        <v>4757078000</v>
      </c>
      <c r="I599" s="150">
        <v>0.74343692770536951</v>
      </c>
      <c r="J599" s="152">
        <v>0</v>
      </c>
    </row>
    <row r="600" spans="1:10" hidden="1">
      <c r="A600" s="64">
        <v>4958</v>
      </c>
      <c r="B600" s="52">
        <v>2.67</v>
      </c>
      <c r="C600" s="160">
        <v>0.92480998914223667</v>
      </c>
      <c r="D600" s="157">
        <v>805617977.52808988</v>
      </c>
      <c r="E600" s="26">
        <f>VLOOKUP(4958,季財報!$A:$H,8,0)</f>
        <v>2</v>
      </c>
      <c r="F600" s="160">
        <v>4.2224999999999992E-2</v>
      </c>
      <c r="G600" s="54">
        <v>64852247191.011238</v>
      </c>
      <c r="H600" s="54">
        <v>88239493000</v>
      </c>
      <c r="I600" s="65">
        <v>0.74358411694478488</v>
      </c>
      <c r="J600" s="162">
        <v>8.1502722418813889</v>
      </c>
    </row>
    <row r="601" spans="1:10" hidden="1">
      <c r="A601" s="64">
        <v>1599</v>
      </c>
      <c r="B601" s="150">
        <v>2.7</v>
      </c>
      <c r="C601" s="159">
        <v>0.90374331550802134</v>
      </c>
      <c r="D601" s="152">
        <v>44814814.814814813</v>
      </c>
      <c r="E601" s="26">
        <f>VLOOKUP(1599,季財報!$A:$H,8,0)</f>
        <v>4</v>
      </c>
      <c r="F601" s="159">
        <v>9.4766666666666666E-2</v>
      </c>
      <c r="G601" s="152">
        <v>2121981481.4814816</v>
      </c>
      <c r="H601" s="152">
        <v>2749287000</v>
      </c>
      <c r="I601" s="150">
        <v>0.74497679790642191</v>
      </c>
      <c r="J601" s="152">
        <v>4.8512217839140916</v>
      </c>
    </row>
    <row r="602" spans="1:10" hidden="1">
      <c r="A602" s="64">
        <v>2472</v>
      </c>
      <c r="B602" s="150">
        <v>1.2</v>
      </c>
      <c r="C602" s="159">
        <v>0.65975103734439833</v>
      </c>
      <c r="D602" s="152">
        <v>140833333.33333334</v>
      </c>
      <c r="E602" s="26">
        <f>VLOOKUP(2472,季財報!$A:$H,8,0)</f>
        <v>3</v>
      </c>
      <c r="F602" s="159">
        <v>1.0291666666666666E-2</v>
      </c>
      <c r="G602" s="152">
        <v>4344708333.333334</v>
      </c>
      <c r="H602" s="152">
        <v>5826620000</v>
      </c>
      <c r="I602" s="150">
        <v>0.7460360987803224</v>
      </c>
      <c r="J602" s="152">
        <v>9.7416797693920341</v>
      </c>
    </row>
    <row r="603" spans="1:10" hidden="1">
      <c r="A603" s="64">
        <v>3291</v>
      </c>
      <c r="B603" s="150">
        <v>0.21</v>
      </c>
      <c r="C603" s="159">
        <v>0.5</v>
      </c>
      <c r="D603" s="152">
        <v>33333333.333333336</v>
      </c>
      <c r="E603" s="26">
        <f>VLOOKUP(3291,季財報!$A:$H,8,0)</f>
        <v>3</v>
      </c>
      <c r="F603" s="159">
        <v>1.7616666666666666E-2</v>
      </c>
      <c r="G603" s="152">
        <v>525000000.00000006</v>
      </c>
      <c r="H603" s="152">
        <v>694457000</v>
      </c>
      <c r="I603" s="150">
        <v>0.7478270283205658</v>
      </c>
      <c r="J603" s="152">
        <v>37.5</v>
      </c>
    </row>
    <row r="604" spans="1:10" hidden="1">
      <c r="A604" s="64">
        <v>5907</v>
      </c>
      <c r="B604" s="52">
        <v>-2.48</v>
      </c>
      <c r="C604" s="160">
        <v>0</v>
      </c>
      <c r="D604" s="157">
        <v>197580645.16129032</v>
      </c>
      <c r="E604" s="26">
        <f>VLOOKUP(5907,季財報!$A:$H,8,0)</f>
        <v>0</v>
      </c>
      <c r="F604" s="160">
        <v>2.4999999999999983E-3</v>
      </c>
      <c r="G604" s="54">
        <v>5690322580.6451616</v>
      </c>
      <c r="H604" s="54">
        <v>7531909000</v>
      </c>
      <c r="I604" s="65">
        <v>0.74800237252444135</v>
      </c>
      <c r="J604" s="162">
        <v>0</v>
      </c>
    </row>
    <row r="605" spans="1:10" hidden="1">
      <c r="A605" s="64">
        <v>1519</v>
      </c>
      <c r="B605" s="150">
        <v>0.16</v>
      </c>
      <c r="C605" s="159">
        <v>0.96078431372549022</v>
      </c>
      <c r="D605" s="152">
        <v>256250000</v>
      </c>
      <c r="E605" s="26">
        <f>VLOOKUP(1519,季財報!$A:$H,8,0)</f>
        <v>0</v>
      </c>
      <c r="F605" s="159">
        <v>6.7733333333333326E-2</v>
      </c>
      <c r="G605" s="152">
        <v>4138437499.9999995</v>
      </c>
      <c r="H605" s="152">
        <v>5332987000</v>
      </c>
      <c r="I605" s="150">
        <v>0.74875156433272527</v>
      </c>
      <c r="J605" s="152">
        <v>26.264349489795912</v>
      </c>
    </row>
    <row r="606" spans="1:10" hidden="1">
      <c r="A606" s="64">
        <v>1216</v>
      </c>
      <c r="B606" s="150">
        <v>0.68</v>
      </c>
      <c r="C606" s="159">
        <v>0.57225642883013406</v>
      </c>
      <c r="D606" s="152">
        <v>5669117647.0588236</v>
      </c>
      <c r="E606" s="26">
        <f>VLOOKUP(1216,季財報!$A:$H,8,0)</f>
        <v>4</v>
      </c>
      <c r="F606" s="159">
        <v>6.2666666666666669E-3</v>
      </c>
      <c r="G606" s="152">
        <v>312935294117.64709</v>
      </c>
      <c r="H606" s="152">
        <v>416843487000</v>
      </c>
      <c r="I606" s="150">
        <v>0.74963565891330763</v>
      </c>
      <c r="J606" s="152">
        <v>35.463328369322404</v>
      </c>
    </row>
    <row r="607" spans="1:10" hidden="1">
      <c r="A607" s="64">
        <v>3046</v>
      </c>
      <c r="B607" s="150">
        <v>-0.11</v>
      </c>
      <c r="C607" s="159">
        <v>1</v>
      </c>
      <c r="D607" s="152">
        <v>118181818.18181819</v>
      </c>
      <c r="E607" s="26">
        <f>VLOOKUP(3046,季財報!$A:$H,8,0)</f>
        <v>5</v>
      </c>
      <c r="F607" s="159">
        <v>5.7716666666666673E-2</v>
      </c>
      <c r="G607" s="152">
        <v>1116818181.8181818</v>
      </c>
      <c r="H607" s="152">
        <v>1527942000</v>
      </c>
      <c r="I607" s="150">
        <v>0.75009163207300233</v>
      </c>
      <c r="J607" s="152">
        <v>0</v>
      </c>
    </row>
    <row r="608" spans="1:10" hidden="1">
      <c r="A608" s="64">
        <v>2499</v>
      </c>
      <c r="B608" s="150">
        <v>0.2</v>
      </c>
      <c r="C608" s="159">
        <v>0.546875</v>
      </c>
      <c r="D608" s="152">
        <v>315000000</v>
      </c>
      <c r="E608" s="26">
        <f>VLOOKUP(2499,季財報!$A:$H,8,0)</f>
        <v>1</v>
      </c>
      <c r="F608" s="159">
        <v>1.2999999999999956E-3</v>
      </c>
      <c r="G608" s="152">
        <v>6174000000</v>
      </c>
      <c r="H608" s="152">
        <v>8026668000</v>
      </c>
      <c r="I608" s="150">
        <v>0.7507505681700728</v>
      </c>
      <c r="J608" s="152">
        <v>44.800000000000004</v>
      </c>
    </row>
    <row r="609" spans="1:10" hidden="1">
      <c r="A609" s="64">
        <v>6164</v>
      </c>
      <c r="B609" s="52">
        <v>7.0000000000000007E-2</v>
      </c>
      <c r="C609" s="160">
        <v>1</v>
      </c>
      <c r="D609" s="157">
        <v>128571428.57142855</v>
      </c>
      <c r="E609" s="26">
        <f>VLOOKUP(6164,季財報!$A:$H,8,0)</f>
        <v>2</v>
      </c>
      <c r="F609" s="160">
        <v>1.7225000000000004E-2</v>
      </c>
      <c r="G609" s="54">
        <v>1298571428.5714283</v>
      </c>
      <c r="H609" s="54">
        <v>1723052000</v>
      </c>
      <c r="I609" s="65">
        <v>0.75314780985611129</v>
      </c>
      <c r="J609" s="162">
        <v>36.071428571428569</v>
      </c>
    </row>
    <row r="610" spans="1:10" hidden="1">
      <c r="A610" s="64">
        <v>2916</v>
      </c>
      <c r="B610" s="150">
        <v>-0.12</v>
      </c>
      <c r="C610" s="159">
        <v>0</v>
      </c>
      <c r="D610" s="152">
        <v>58333333.333333336</v>
      </c>
      <c r="E610" s="26">
        <f>VLOOKUP(2916,季財報!$A:$H,8,0)</f>
        <v>1</v>
      </c>
      <c r="F610" s="159">
        <v>4.0949999999999986E-2</v>
      </c>
      <c r="G610" s="152">
        <v>1047083333.3333334</v>
      </c>
      <c r="H610" s="152">
        <v>1392911000</v>
      </c>
      <c r="I610" s="150">
        <v>0.75391351013010155</v>
      </c>
      <c r="J610" s="152">
        <v>0</v>
      </c>
    </row>
    <row r="611" spans="1:10" hidden="1">
      <c r="A611" s="64">
        <v>3581</v>
      </c>
      <c r="B611" s="155">
        <v>0.22</v>
      </c>
      <c r="C611" s="159">
        <v>1</v>
      </c>
      <c r="D611" s="156">
        <v>50000000</v>
      </c>
      <c r="E611" s="26">
        <f>VLOOKUP(3581,季財報!$A:$H,8,0)</f>
        <v>3</v>
      </c>
      <c r="F611" s="159">
        <v>2.9433333333333343E-2</v>
      </c>
      <c r="G611" s="156">
        <v>660000000</v>
      </c>
      <c r="H611" s="156">
        <v>848339000</v>
      </c>
      <c r="I611" s="155">
        <v>0.75533714358959103</v>
      </c>
      <c r="J611" s="156">
        <v>15</v>
      </c>
    </row>
    <row r="612" spans="1:10" hidden="1">
      <c r="A612" s="64">
        <v>3625</v>
      </c>
      <c r="B612" s="150">
        <v>7.0000000000000007E-2</v>
      </c>
      <c r="C612" s="159">
        <v>0</v>
      </c>
      <c r="D612" s="152">
        <v>57142857.142857134</v>
      </c>
      <c r="E612" s="26">
        <f>VLOOKUP(3625,季財報!$A:$H,8,0)</f>
        <v>2</v>
      </c>
      <c r="F612" s="159">
        <v>5.3524999999999996E-2</v>
      </c>
      <c r="G612" s="152">
        <v>553142857.14285707</v>
      </c>
      <c r="H612" s="152">
        <v>759622000</v>
      </c>
      <c r="I612" s="150">
        <v>0.75585583299334125</v>
      </c>
      <c r="J612" s="152">
        <v>0</v>
      </c>
    </row>
    <row r="613" spans="1:10" hidden="1">
      <c r="A613" s="64">
        <v>2104</v>
      </c>
      <c r="B613" s="150">
        <v>0.57999999999999996</v>
      </c>
      <c r="C613" s="159">
        <v>0.9452054794520548</v>
      </c>
      <c r="D613" s="152">
        <v>582758620.68965518</v>
      </c>
      <c r="E613" s="26">
        <f>VLOOKUP(2104,季財報!$A:$H,8,0)</f>
        <v>1</v>
      </c>
      <c r="F613" s="159">
        <v>-2.2033333333333332E-2</v>
      </c>
      <c r="G613" s="152">
        <v>13374310344.827585</v>
      </c>
      <c r="H613" s="152">
        <v>17183417000</v>
      </c>
      <c r="I613" s="150">
        <v>0.75681584421361026</v>
      </c>
      <c r="J613" s="152">
        <v>10.465704647676162</v>
      </c>
    </row>
    <row r="614" spans="1:10" hidden="1">
      <c r="A614" s="64">
        <v>5468</v>
      </c>
      <c r="B614" s="52">
        <v>-0.04</v>
      </c>
      <c r="C614" s="160">
        <v>0.33333333333333331</v>
      </c>
      <c r="D614" s="157">
        <v>50000000</v>
      </c>
      <c r="E614" s="26">
        <f>VLOOKUP(5468,季財報!$A:$H,8,0)</f>
        <v>2</v>
      </c>
      <c r="F614" s="160">
        <v>-4.1091666666666665E-2</v>
      </c>
      <c r="G614" s="54">
        <v>348000000</v>
      </c>
      <c r="H614" s="54">
        <v>442783000</v>
      </c>
      <c r="I614" s="65">
        <v>0.75711261615043046</v>
      </c>
      <c r="J614" s="162">
        <v>0</v>
      </c>
    </row>
    <row r="615" spans="1:10" hidden="1">
      <c r="A615" s="64">
        <v>1582</v>
      </c>
      <c r="B615" s="150">
        <v>1.84</v>
      </c>
      <c r="C615" s="159">
        <v>0.80888888888888888</v>
      </c>
      <c r="D615" s="152">
        <v>150000000</v>
      </c>
      <c r="E615" s="26">
        <f>VLOOKUP(1582,季財報!$A:$H,8,0)</f>
        <v>3</v>
      </c>
      <c r="F615" s="159">
        <v>-4.9583333333333302E-3</v>
      </c>
      <c r="G615" s="152">
        <v>7350000000</v>
      </c>
      <c r="H615" s="152">
        <v>9594676000</v>
      </c>
      <c r="I615" s="150">
        <v>0.75711939453522548</v>
      </c>
      <c r="J615" s="152">
        <v>8.2305602006688954</v>
      </c>
    </row>
    <row r="616" spans="1:10" hidden="1">
      <c r="A616" s="64">
        <v>1217</v>
      </c>
      <c r="B616" s="150">
        <v>0.44</v>
      </c>
      <c r="C616" s="159">
        <v>0</v>
      </c>
      <c r="D616" s="152">
        <v>481818181.81818181</v>
      </c>
      <c r="E616" s="26">
        <f>VLOOKUP(1217,季財報!$A:$H,8,0)</f>
        <v>2</v>
      </c>
      <c r="F616" s="159">
        <v>3.1883333333333326E-2</v>
      </c>
      <c r="G616" s="152">
        <v>3478727272.7272725</v>
      </c>
      <c r="H616" s="152">
        <v>4589723000</v>
      </c>
      <c r="I616" s="150">
        <v>0.75885171492931969</v>
      </c>
      <c r="J616" s="152">
        <v>0</v>
      </c>
    </row>
    <row r="617" spans="1:10" hidden="1">
      <c r="A617" s="64">
        <v>4527</v>
      </c>
      <c r="B617" s="52">
        <v>0.56999999999999995</v>
      </c>
      <c r="C617" s="160">
        <v>0.93670886075949367</v>
      </c>
      <c r="D617" s="157">
        <v>77192982.456140354</v>
      </c>
      <c r="E617" s="26">
        <f>VLOOKUP(4527,季財報!$A:$H,8,0)</f>
        <v>1</v>
      </c>
      <c r="F617" s="160">
        <v>5.7899999999999986E-2</v>
      </c>
      <c r="G617" s="54">
        <v>1787017543.8596492</v>
      </c>
      <c r="H617" s="54">
        <v>2405715000</v>
      </c>
      <c r="I617" s="65">
        <v>0.75917341562218654</v>
      </c>
      <c r="J617" s="162">
        <v>10.839556661925082</v>
      </c>
    </row>
    <row r="618" spans="1:10" hidden="1">
      <c r="A618" s="64">
        <v>4714</v>
      </c>
      <c r="B618" s="52">
        <v>7.0000000000000007E-2</v>
      </c>
      <c r="C618" s="160">
        <v>1</v>
      </c>
      <c r="D618" s="157">
        <v>71428571.428571418</v>
      </c>
      <c r="E618" s="26">
        <f>VLOOKUP(4714,季財報!$A:$H,8,0)</f>
        <v>2</v>
      </c>
      <c r="F618" s="160">
        <v>3.8116666666666681E-2</v>
      </c>
      <c r="G618" s="54">
        <v>571428571.42857134</v>
      </c>
      <c r="H618" s="54">
        <v>744345000</v>
      </c>
      <c r="I618" s="65">
        <v>0.7592342818573754</v>
      </c>
      <c r="J618" s="162">
        <v>28.571428571428569</v>
      </c>
    </row>
    <row r="619" spans="1:10" hidden="1">
      <c r="A619" s="64">
        <v>5608</v>
      </c>
      <c r="B619" s="52">
        <v>0.01</v>
      </c>
      <c r="C619" s="160">
        <v>0</v>
      </c>
      <c r="D619" s="157">
        <v>300000000</v>
      </c>
      <c r="E619" s="26">
        <f>VLOOKUP(5608,季財報!$A:$H,8,0)</f>
        <v>2</v>
      </c>
      <c r="F619" s="160">
        <v>-8.7499999999999904E-4</v>
      </c>
      <c r="G619" s="54">
        <v>3450000000</v>
      </c>
      <c r="H619" s="54">
        <v>4512833000</v>
      </c>
      <c r="I619" s="65">
        <v>0.75984360876819879</v>
      </c>
      <c r="J619" s="162">
        <v>0</v>
      </c>
    </row>
    <row r="620" spans="1:10" hidden="1">
      <c r="A620" s="64">
        <v>3580</v>
      </c>
      <c r="B620" s="150">
        <v>-0.19</v>
      </c>
      <c r="C620" s="159">
        <v>0.58536585365853655</v>
      </c>
      <c r="D620" s="152">
        <v>52631578.947368421</v>
      </c>
      <c r="E620" s="26">
        <f>VLOOKUP(3580,季財報!$A:$H,8,0)</f>
        <v>1</v>
      </c>
      <c r="F620" s="159">
        <v>0.12638333333333338</v>
      </c>
      <c r="G620" s="152">
        <v>419473684.21052629</v>
      </c>
      <c r="H620" s="152">
        <v>540370000</v>
      </c>
      <c r="I620" s="150">
        <v>0.7615661545858895</v>
      </c>
      <c r="J620" s="152">
        <v>0</v>
      </c>
    </row>
    <row r="621" spans="1:10" hidden="1">
      <c r="A621" s="64">
        <v>5525</v>
      </c>
      <c r="B621" s="52">
        <v>0.52</v>
      </c>
      <c r="C621" s="160">
        <v>1</v>
      </c>
      <c r="D621" s="157">
        <v>242307692.30769229</v>
      </c>
      <c r="E621" s="26">
        <f>VLOOKUP(5525,季財報!$A:$H,8,0)</f>
        <v>1</v>
      </c>
      <c r="F621" s="160">
        <v>1.0053833333333333</v>
      </c>
      <c r="G621" s="54">
        <v>3755769230.7692304</v>
      </c>
      <c r="H621" s="54">
        <v>4887928000</v>
      </c>
      <c r="I621" s="65">
        <v>0.76238112807454872</v>
      </c>
      <c r="J621" s="162">
        <v>7.4519230769230766</v>
      </c>
    </row>
    <row r="622" spans="1:10" hidden="1">
      <c r="A622" s="64">
        <v>6442</v>
      </c>
      <c r="B622" s="52">
        <v>1.81</v>
      </c>
      <c r="C622" s="160">
        <v>0.59235668789808915</v>
      </c>
      <c r="D622" s="157">
        <v>65193370.165745854</v>
      </c>
      <c r="E622" s="26">
        <f>VLOOKUP(6442,季財報!$A:$H,8,0)</f>
        <v>4</v>
      </c>
      <c r="F622" s="160">
        <v>4.2566666666666669E-2</v>
      </c>
      <c r="G622" s="54">
        <v>3259668508.2872925</v>
      </c>
      <c r="H622" s="54">
        <v>4348923000</v>
      </c>
      <c r="I622" s="65">
        <v>0.7629102951609934</v>
      </c>
      <c r="J622" s="162">
        <v>11.658646705875363</v>
      </c>
    </row>
    <row r="623" spans="1:10" hidden="1">
      <c r="A623" s="64">
        <v>5355</v>
      </c>
      <c r="B623" s="52">
        <v>0.12</v>
      </c>
      <c r="C623" s="160">
        <v>0</v>
      </c>
      <c r="D623" s="157">
        <v>175000000</v>
      </c>
      <c r="E623" s="26">
        <f>VLOOKUP(5355,季財報!$A:$H,8,0)</f>
        <v>2</v>
      </c>
      <c r="F623" s="160">
        <v>-2.3699999999999999E-2</v>
      </c>
      <c r="G623" s="54">
        <v>1137500000</v>
      </c>
      <c r="H623" s="54">
        <v>1427537000</v>
      </c>
      <c r="I623" s="65">
        <v>0.7642665896241152</v>
      </c>
      <c r="J623" s="162">
        <v>0</v>
      </c>
    </row>
    <row r="624" spans="1:10" hidden="1">
      <c r="A624" s="64">
        <v>3438</v>
      </c>
      <c r="B624" s="150">
        <v>-0.3</v>
      </c>
      <c r="C624" s="159">
        <v>1</v>
      </c>
      <c r="D624" s="152">
        <v>40000000</v>
      </c>
      <c r="E624" s="26">
        <f>VLOOKUP(3438,季財報!$A:$H,8,0)</f>
        <v>0</v>
      </c>
      <c r="F624" s="159">
        <v>-2.6216666666666666E-2</v>
      </c>
      <c r="G624" s="152">
        <v>700000000</v>
      </c>
      <c r="H624" s="152">
        <v>884737000</v>
      </c>
      <c r="I624" s="150">
        <v>0.76430478291014503</v>
      </c>
      <c r="J624" s="152">
        <v>0</v>
      </c>
    </row>
    <row r="625" spans="1:10" hidden="1">
      <c r="A625" s="64">
        <v>4956</v>
      </c>
      <c r="B625" s="52">
        <v>0.25</v>
      </c>
      <c r="C625" s="160">
        <v>0.47222222222222221</v>
      </c>
      <c r="D625" s="157">
        <v>100000000</v>
      </c>
      <c r="E625" s="26">
        <f>VLOOKUP(4956,季財報!$A:$H,8,0)</f>
        <v>2</v>
      </c>
      <c r="F625" s="160">
        <v>-1.1349999999999999E-2</v>
      </c>
      <c r="G625" s="54">
        <v>1110000000</v>
      </c>
      <c r="H625" s="54">
        <v>1419103000</v>
      </c>
      <c r="I625" s="65">
        <v>0.76572583565867947</v>
      </c>
      <c r="J625" s="162">
        <v>23.505882352941175</v>
      </c>
    </row>
    <row r="626" spans="1:10" hidden="1">
      <c r="A626" s="64">
        <v>4429</v>
      </c>
      <c r="B626" s="52">
        <v>0.53</v>
      </c>
      <c r="C626" s="160">
        <v>0.92592592592592593</v>
      </c>
      <c r="D626" s="157">
        <v>33962264.150943391</v>
      </c>
      <c r="E626" s="26">
        <f>VLOOKUP(4429,季財報!$A:$H,8,0)</f>
        <v>3</v>
      </c>
      <c r="F626" s="160">
        <v>2.2499999999999373E-4</v>
      </c>
      <c r="G626" s="54">
        <v>774339622.64150929</v>
      </c>
      <c r="H626" s="54">
        <v>975619000</v>
      </c>
      <c r="I626" s="65">
        <v>0.76577367827631049</v>
      </c>
      <c r="J626" s="162">
        <v>11.615094339622642</v>
      </c>
    </row>
    <row r="627" spans="1:10" hidden="1">
      <c r="A627" s="64">
        <v>3514</v>
      </c>
      <c r="B627" s="150">
        <v>0.32</v>
      </c>
      <c r="C627" s="159">
        <v>0.82530120481927716</v>
      </c>
      <c r="D627" s="152">
        <v>434375000</v>
      </c>
      <c r="E627" s="26">
        <f>VLOOKUP(3514,季財報!$A:$H,8,0)</f>
        <v>3</v>
      </c>
      <c r="F627" s="159">
        <v>1.1133333333333341E-2</v>
      </c>
      <c r="G627" s="152">
        <v>12140781250</v>
      </c>
      <c r="H627" s="152">
        <v>15688601000</v>
      </c>
      <c r="I627" s="150">
        <v>0.76734149713608535</v>
      </c>
      <c r="J627" s="152">
        <v>26.45814324817518</v>
      </c>
    </row>
    <row r="628" spans="1:10" hidden="1">
      <c r="A628" s="64">
        <v>6107</v>
      </c>
      <c r="B628" s="52">
        <v>1.32</v>
      </c>
      <c r="C628" s="160">
        <v>0.66666666666666663</v>
      </c>
      <c r="D628" s="157">
        <v>74242424.242424235</v>
      </c>
      <c r="E628" s="26">
        <f>VLOOKUP(6107,季財報!$A:$H,8,0)</f>
        <v>1</v>
      </c>
      <c r="F628" s="160">
        <v>0.11355</v>
      </c>
      <c r="G628" s="54">
        <v>5352878787.878787</v>
      </c>
      <c r="H628" s="54">
        <v>7111190000</v>
      </c>
      <c r="I628" s="65">
        <v>0.76766520203386224</v>
      </c>
      <c r="J628" s="162">
        <v>20.482954545454543</v>
      </c>
    </row>
    <row r="629" spans="1:10" hidden="1">
      <c r="A629" s="64">
        <v>3535</v>
      </c>
      <c r="B629" s="150">
        <v>0.08</v>
      </c>
      <c r="C629" s="159">
        <v>0</v>
      </c>
      <c r="D629" s="152">
        <v>87500000</v>
      </c>
      <c r="E629" s="26">
        <f>VLOOKUP(3535,季財報!$A:$H,8,0)</f>
        <v>2</v>
      </c>
      <c r="F629" s="159">
        <v>0.83491666666666686</v>
      </c>
      <c r="G629" s="152">
        <v>757750000</v>
      </c>
      <c r="H629" s="152">
        <v>1071123000</v>
      </c>
      <c r="I629" s="150">
        <v>0.76840625798574635</v>
      </c>
      <c r="J629" s="152">
        <v>0</v>
      </c>
    </row>
    <row r="630" spans="1:10" hidden="1">
      <c r="A630" s="64">
        <v>4510</v>
      </c>
      <c r="B630" s="52">
        <v>0.61</v>
      </c>
      <c r="C630" s="160">
        <v>0.6333333333333333</v>
      </c>
      <c r="D630" s="157">
        <v>106557377.04918033</v>
      </c>
      <c r="E630" s="26">
        <f>VLOOKUP(4510,季財報!$A:$H,8,0)</f>
        <v>2</v>
      </c>
      <c r="F630" s="160">
        <v>-1.0725000000000004E-2</v>
      </c>
      <c r="G630" s="54">
        <v>1635655737.7049179</v>
      </c>
      <c r="H630" s="54">
        <v>2087776000</v>
      </c>
      <c r="I630" s="65">
        <v>0.76848534599921436</v>
      </c>
      <c r="J630" s="162">
        <v>9.9331320103537539</v>
      </c>
    </row>
    <row r="631" spans="1:10" hidden="1">
      <c r="A631" s="64">
        <v>8349</v>
      </c>
      <c r="B631" s="52">
        <v>1.44</v>
      </c>
      <c r="C631" s="160">
        <v>0.81949458483754511</v>
      </c>
      <c r="D631" s="157">
        <v>88194444.444444448</v>
      </c>
      <c r="E631" s="26">
        <f>VLOOKUP(8349,季財報!$A:$H,8,0)</f>
        <v>1</v>
      </c>
      <c r="F631" s="160">
        <v>2.5216666666666655E-2</v>
      </c>
      <c r="G631" s="54">
        <v>7461250000</v>
      </c>
      <c r="H631" s="54">
        <v>9705828000</v>
      </c>
      <c r="I631" s="65">
        <v>0.77051384353526875</v>
      </c>
      <c r="J631" s="162">
        <v>17.922632158590307</v>
      </c>
    </row>
    <row r="632" spans="1:10" hidden="1">
      <c r="A632" s="64">
        <v>8916</v>
      </c>
      <c r="B632" s="52">
        <v>2.41</v>
      </c>
      <c r="C632" s="160">
        <v>0.97662337662337662</v>
      </c>
      <c r="D632" s="157">
        <v>105809128.63070539</v>
      </c>
      <c r="E632" s="26">
        <f>VLOOKUP(8916,季財報!$A:$H,8,0)</f>
        <v>5</v>
      </c>
      <c r="F632" s="160">
        <v>4.1916666666666658E-2</v>
      </c>
      <c r="G632" s="54">
        <v>6697717842.3236504</v>
      </c>
      <c r="H632" s="54">
        <v>8856425000</v>
      </c>
      <c r="I632" s="65">
        <v>0.77054682624687054</v>
      </c>
      <c r="J632" s="162">
        <v>6.7235642712103818</v>
      </c>
    </row>
    <row r="633" spans="1:10" hidden="1">
      <c r="A633" s="64">
        <v>3669</v>
      </c>
      <c r="B633" s="150">
        <v>0.21</v>
      </c>
      <c r="C633" s="159">
        <v>0.05</v>
      </c>
      <c r="D633" s="152">
        <v>90476190.476190478</v>
      </c>
      <c r="E633" s="26">
        <f>VLOOKUP(3669,季財報!$A:$H,8,0)</f>
        <v>4</v>
      </c>
      <c r="F633" s="159">
        <v>-1.6666666666664543E-5</v>
      </c>
      <c r="G633" s="152">
        <v>1275714285.7142856</v>
      </c>
      <c r="H633" s="152">
        <v>1616518000</v>
      </c>
      <c r="I633" s="150">
        <v>0.77280093781514025</v>
      </c>
      <c r="J633" s="152">
        <v>50</v>
      </c>
    </row>
    <row r="634" spans="1:10" hidden="1">
      <c r="A634" s="64">
        <v>6173</v>
      </c>
      <c r="B634" s="52">
        <v>0.26</v>
      </c>
      <c r="C634" s="160">
        <v>0.61538461538461542</v>
      </c>
      <c r="D634" s="157">
        <v>184615384.61538461</v>
      </c>
      <c r="E634" s="26">
        <f>VLOOKUP(6173,季財報!$A:$H,8,0)</f>
        <v>1</v>
      </c>
      <c r="F634" s="160">
        <v>8.4999999999999659E-4</v>
      </c>
      <c r="G634" s="54">
        <v>1864615384.6153846</v>
      </c>
      <c r="H634" s="54">
        <v>2400633000</v>
      </c>
      <c r="I634" s="65">
        <v>0.77368327819563265</v>
      </c>
      <c r="J634" s="162">
        <v>15.78125</v>
      </c>
    </row>
    <row r="635" spans="1:10" hidden="1">
      <c r="A635" s="64">
        <v>3027</v>
      </c>
      <c r="B635" s="150">
        <v>0.13</v>
      </c>
      <c r="C635" s="159">
        <v>0</v>
      </c>
      <c r="D635" s="152">
        <v>92307692.307692304</v>
      </c>
      <c r="E635" s="26">
        <f>VLOOKUP(3027,季財報!$A:$H,8,0)</f>
        <v>2</v>
      </c>
      <c r="F635" s="159">
        <v>3.4191666666666655E-2</v>
      </c>
      <c r="G635" s="152">
        <v>1029230769.2307693</v>
      </c>
      <c r="H635" s="152">
        <v>1331424000</v>
      </c>
      <c r="I635" s="150">
        <v>0.77594752878110018</v>
      </c>
      <c r="J635" s="152">
        <v>0</v>
      </c>
    </row>
    <row r="636" spans="1:10" hidden="1">
      <c r="A636" s="64">
        <v>5465</v>
      </c>
      <c r="B636" s="52">
        <v>0.01</v>
      </c>
      <c r="C636" s="160">
        <v>0</v>
      </c>
      <c r="D636" s="157">
        <v>200000000</v>
      </c>
      <c r="E636" s="26">
        <f>VLOOKUP(5465,季財報!$A:$H,8,0)</f>
        <v>2</v>
      </c>
      <c r="F636" s="160">
        <v>-9.633333333333334E-3</v>
      </c>
      <c r="G636" s="54">
        <v>2000000000</v>
      </c>
      <c r="H636" s="54">
        <v>2512136000</v>
      </c>
      <c r="I636" s="65">
        <v>0.77656995264476425</v>
      </c>
      <c r="J636" s="162">
        <v>0</v>
      </c>
    </row>
    <row r="637" spans="1:10" hidden="1">
      <c r="A637" s="64">
        <v>3679</v>
      </c>
      <c r="B637" s="150">
        <v>1.75</v>
      </c>
      <c r="C637" s="159">
        <v>0.60427807486631013</v>
      </c>
      <c r="D637" s="152">
        <v>79428571.428571433</v>
      </c>
      <c r="E637" s="26">
        <f>VLOOKUP(3679,季財報!$A:$H,8,0)</f>
        <v>3</v>
      </c>
      <c r="F637" s="159">
        <v>2.2533333333333332E-2</v>
      </c>
      <c r="G637" s="152">
        <v>3415428571.4285717</v>
      </c>
      <c r="H637" s="152">
        <v>4431650000</v>
      </c>
      <c r="I637" s="150">
        <v>0.77700158507283368</v>
      </c>
      <c r="J637" s="152">
        <v>10.165613147914033</v>
      </c>
    </row>
    <row r="638" spans="1:10" hidden="1">
      <c r="A638" s="64">
        <v>6160</v>
      </c>
      <c r="B638" s="52">
        <v>0.02</v>
      </c>
      <c r="C638" s="160">
        <v>1</v>
      </c>
      <c r="D638" s="157">
        <v>50000000</v>
      </c>
      <c r="E638" s="26">
        <f>VLOOKUP(6160,季財報!$A:$H,8,0)</f>
        <v>3</v>
      </c>
      <c r="F638" s="160">
        <v>3.8691666666666673E-2</v>
      </c>
      <c r="G638" s="54">
        <v>850000000</v>
      </c>
      <c r="H638" s="54">
        <v>1103298000</v>
      </c>
      <c r="I638" s="65">
        <v>0.77849022353659869</v>
      </c>
      <c r="J638" s="162">
        <v>50</v>
      </c>
    </row>
    <row r="639" spans="1:10" hidden="1">
      <c r="A639" s="64">
        <v>1460</v>
      </c>
      <c r="B639" s="150">
        <v>0.21</v>
      </c>
      <c r="C639" s="159">
        <v>0.97468354430379744</v>
      </c>
      <c r="D639" s="152">
        <v>433333333.33333337</v>
      </c>
      <c r="E639" s="26">
        <f>VLOOKUP(1460,季財報!$A:$H,8,0)</f>
        <v>3</v>
      </c>
      <c r="F639" s="159">
        <v>1.0000000000000009E-3</v>
      </c>
      <c r="G639" s="152">
        <v>6500000000.000001</v>
      </c>
      <c r="H639" s="152">
        <v>8264029000</v>
      </c>
      <c r="I639" s="150">
        <v>0.77883001040516908</v>
      </c>
      <c r="J639" s="152">
        <v>18.320964749536181</v>
      </c>
    </row>
    <row r="640" spans="1:10" hidden="1">
      <c r="A640" s="64">
        <v>5903</v>
      </c>
      <c r="B640" s="52">
        <v>2.09</v>
      </c>
      <c r="C640" s="160">
        <v>0.81152460984393759</v>
      </c>
      <c r="D640" s="157">
        <v>222966507.17703351</v>
      </c>
      <c r="E640" s="26">
        <f>VLOOKUP(5903,季財報!$A:$H,8,0)</f>
        <v>2</v>
      </c>
      <c r="F640" s="160">
        <v>4.5416666666666652E-3</v>
      </c>
      <c r="G640" s="54">
        <v>44704784688.995216</v>
      </c>
      <c r="H640" s="54">
        <v>57544750000</v>
      </c>
      <c r="I640" s="65">
        <v>0.77975566100444205</v>
      </c>
      <c r="J640" s="162">
        <v>29.553328756263983</v>
      </c>
    </row>
    <row r="641" spans="1:10" hidden="1">
      <c r="A641" s="64">
        <v>4523</v>
      </c>
      <c r="B641" s="52">
        <v>-0.24</v>
      </c>
      <c r="C641" s="160">
        <v>0</v>
      </c>
      <c r="D641" s="157">
        <v>66666666.666666672</v>
      </c>
      <c r="E641" s="26">
        <f>VLOOKUP(4523,季財報!$A:$H,8,0)</f>
        <v>2</v>
      </c>
      <c r="F641" s="160">
        <v>4.0533333333333338E-2</v>
      </c>
      <c r="G641" s="54">
        <v>1190000000.0000002</v>
      </c>
      <c r="H641" s="54">
        <v>1545498000</v>
      </c>
      <c r="I641" s="65">
        <v>0.78002046406629277</v>
      </c>
      <c r="J641" s="162">
        <v>0</v>
      </c>
    </row>
    <row r="642" spans="1:10" hidden="1">
      <c r="A642" s="64">
        <v>2344</v>
      </c>
      <c r="B642" s="150">
        <v>0.18</v>
      </c>
      <c r="C642" s="159">
        <v>0.90434192672998648</v>
      </c>
      <c r="D642" s="152">
        <v>3738888888.8888888</v>
      </c>
      <c r="E642" s="26">
        <f>VLOOKUP(2344,季財報!$A:$H,8,0)</f>
        <v>1</v>
      </c>
      <c r="F642" s="159">
        <v>3.5750000000000001E-3</v>
      </c>
      <c r="G642" s="152">
        <v>29873722222.222221</v>
      </c>
      <c r="H642" s="152">
        <v>38342108000</v>
      </c>
      <c r="I642" s="150">
        <v>0.78087009462491175</v>
      </c>
      <c r="J642" s="152">
        <v>12.271046928398766</v>
      </c>
    </row>
    <row r="643" spans="1:10" hidden="1">
      <c r="A643" s="64">
        <v>8234</v>
      </c>
      <c r="B643" s="52">
        <v>0.51</v>
      </c>
      <c r="C643" s="160">
        <v>0.58260869565217388</v>
      </c>
      <c r="D643" s="157">
        <v>141176470.58823529</v>
      </c>
      <c r="E643" s="26">
        <f>VLOOKUP(8234,季財報!$A:$H,8,0)</f>
        <v>2</v>
      </c>
      <c r="F643" s="160">
        <v>2.2066666666666668E-2</v>
      </c>
      <c r="G643" s="54">
        <v>4249411764.7058825</v>
      </c>
      <c r="H643" s="54">
        <v>5514580000</v>
      </c>
      <c r="I643" s="65">
        <v>0.78209418319399993</v>
      </c>
      <c r="J643" s="162">
        <v>25.325577992390986</v>
      </c>
    </row>
    <row r="644" spans="1:10" hidden="1">
      <c r="A644" s="64">
        <v>1586</v>
      </c>
      <c r="B644" s="150">
        <v>-0.34</v>
      </c>
      <c r="C644" s="159">
        <v>0.38709677419354838</v>
      </c>
      <c r="D644" s="152">
        <v>44117647.058823526</v>
      </c>
      <c r="E644" s="26">
        <f>VLOOKUP(1586,季財報!$A:$H,8,0)</f>
        <v>0</v>
      </c>
      <c r="F644" s="159">
        <v>1.3391666666666661E-2</v>
      </c>
      <c r="G644" s="152">
        <v>1297058823.5294116</v>
      </c>
      <c r="H644" s="152">
        <v>1670705000</v>
      </c>
      <c r="I644" s="150">
        <v>0.78356037039485038</v>
      </c>
      <c r="J644" s="152">
        <v>0</v>
      </c>
    </row>
    <row r="645" spans="1:10" hidden="1">
      <c r="A645" s="64">
        <v>8105</v>
      </c>
      <c r="B645" s="52">
        <v>0.79</v>
      </c>
      <c r="C645" s="160">
        <v>0.37309644670050762</v>
      </c>
      <c r="D645" s="157">
        <v>439240506.3291139</v>
      </c>
      <c r="E645" s="26">
        <f>VLOOKUP(8105,季財報!$A:$H,8,0)</f>
        <v>3</v>
      </c>
      <c r="F645" s="160">
        <v>1.6074999999999996E-2</v>
      </c>
      <c r="G645" s="54">
        <v>8367531645.5696201</v>
      </c>
      <c r="H645" s="54">
        <v>10731678000</v>
      </c>
      <c r="I645" s="65">
        <v>0.78382601812639363</v>
      </c>
      <c r="J645" s="162">
        <v>16.157969516920691</v>
      </c>
    </row>
    <row r="646" spans="1:10" hidden="1">
      <c r="A646" s="64">
        <v>2337</v>
      </c>
      <c r="B646" s="150">
        <v>-0.27</v>
      </c>
      <c r="C646" s="159">
        <v>1</v>
      </c>
      <c r="D646" s="152">
        <v>3514814814.8148146</v>
      </c>
      <c r="E646" s="26">
        <f>VLOOKUP(2337,季財報!$A:$H,8,0)</f>
        <v>3</v>
      </c>
      <c r="F646" s="159">
        <v>6.6333333333333357E-3</v>
      </c>
      <c r="G646" s="152">
        <v>16343888888.888889</v>
      </c>
      <c r="H646" s="152">
        <v>20883854000</v>
      </c>
      <c r="I646" s="150">
        <v>0.78478170440191819</v>
      </c>
      <c r="J646" s="152">
        <v>0</v>
      </c>
    </row>
    <row r="647" spans="1:10" hidden="1">
      <c r="A647" s="64">
        <v>8039</v>
      </c>
      <c r="B647" s="52">
        <v>1.49</v>
      </c>
      <c r="C647" s="160">
        <v>0.95905172413793105</v>
      </c>
      <c r="D647" s="157">
        <v>202013422.81879196</v>
      </c>
      <c r="E647" s="26">
        <f>VLOOKUP(8039,季財報!$A:$H,8,0)</f>
        <v>5</v>
      </c>
      <c r="F647" s="160">
        <v>2.7949999999999992E-2</v>
      </c>
      <c r="G647" s="54">
        <v>7807818791.9463091</v>
      </c>
      <c r="H647" s="54">
        <v>10151136000</v>
      </c>
      <c r="I647" s="65">
        <v>0.7849456232531774</v>
      </c>
      <c r="J647" s="162">
        <v>6.7617826709901205</v>
      </c>
    </row>
    <row r="648" spans="1:10" hidden="1">
      <c r="A648" s="64">
        <v>1612</v>
      </c>
      <c r="B648" s="150">
        <v>-0.03</v>
      </c>
      <c r="C648" s="159">
        <v>0</v>
      </c>
      <c r="D648" s="152">
        <v>300000000</v>
      </c>
      <c r="E648" s="26">
        <f>VLOOKUP(1612,季財報!$A:$H,8,0)</f>
        <v>1</v>
      </c>
      <c r="F648" s="159">
        <v>1.4141666666666665E-2</v>
      </c>
      <c r="G648" s="152">
        <v>2520000000</v>
      </c>
      <c r="H648" s="152">
        <v>3183772000</v>
      </c>
      <c r="I648" s="150">
        <v>0.78804769314673695</v>
      </c>
      <c r="J648" s="152">
        <v>0</v>
      </c>
    </row>
    <row r="649" spans="1:10" hidden="1">
      <c r="A649" s="64">
        <v>5443</v>
      </c>
      <c r="B649" s="52">
        <v>0.73</v>
      </c>
      <c r="C649" s="160">
        <v>1</v>
      </c>
      <c r="D649" s="157">
        <v>164383561.64383563</v>
      </c>
      <c r="E649" s="26">
        <f>VLOOKUP(5443,季財報!$A:$H,8,0)</f>
        <v>4</v>
      </c>
      <c r="F649" s="160">
        <v>6.1466666666666663E-2</v>
      </c>
      <c r="G649" s="54">
        <v>2794520547.9452057</v>
      </c>
      <c r="H649" s="54">
        <v>3624626000</v>
      </c>
      <c r="I649" s="65">
        <v>0.79135094689427288</v>
      </c>
      <c r="J649" s="162">
        <v>5.8219178082191778</v>
      </c>
    </row>
    <row r="650" spans="1:10" hidden="1">
      <c r="A650" s="64">
        <v>1526</v>
      </c>
      <c r="B650" s="150">
        <v>0.97</v>
      </c>
      <c r="C650" s="159">
        <v>0.52238805970149249</v>
      </c>
      <c r="D650" s="152">
        <v>49484536.082474232</v>
      </c>
      <c r="E650" s="26">
        <f>VLOOKUP(1526,季財報!$A:$H,8,0)</f>
        <v>3</v>
      </c>
      <c r="F650" s="159">
        <v>3.1533333333333337E-2</v>
      </c>
      <c r="G650" s="152">
        <v>717525773.19587636</v>
      </c>
      <c r="H650" s="152">
        <v>905768000</v>
      </c>
      <c r="I650" s="150">
        <v>0.79326865048111406</v>
      </c>
      <c r="J650" s="152">
        <v>7.1539027982326955</v>
      </c>
    </row>
    <row r="651" spans="1:10" hidden="1">
      <c r="A651" s="64">
        <v>5520</v>
      </c>
      <c r="B651" s="52">
        <v>0.49</v>
      </c>
      <c r="C651" s="160">
        <v>0.58536585365853655</v>
      </c>
      <c r="D651" s="157">
        <v>71428571.428571433</v>
      </c>
      <c r="E651" s="26">
        <f>VLOOKUP(5520,季財報!$A:$H,8,0)</f>
        <v>3</v>
      </c>
      <c r="F651" s="160">
        <v>1.5133333333333332E-2</v>
      </c>
      <c r="G651" s="54">
        <v>1842857142.8571429</v>
      </c>
      <c r="H651" s="54">
        <v>2305437000</v>
      </c>
      <c r="I651" s="65">
        <v>0.79417477114838164</v>
      </c>
      <c r="J651" s="162">
        <v>22.487244897959187</v>
      </c>
    </row>
    <row r="652" spans="1:10" hidden="1">
      <c r="A652" s="64">
        <v>1108</v>
      </c>
      <c r="B652" s="150">
        <v>0.23</v>
      </c>
      <c r="C652" s="159">
        <v>1</v>
      </c>
      <c r="D652" s="152">
        <v>400000000</v>
      </c>
      <c r="E652" s="26">
        <f>VLOOKUP(1108,季財報!$A:$H,8,0)</f>
        <v>2</v>
      </c>
      <c r="F652" s="159">
        <v>1.5000000000000005E-2</v>
      </c>
      <c r="G652" s="152">
        <v>4020000000.0000005</v>
      </c>
      <c r="H652" s="152">
        <v>5044075000</v>
      </c>
      <c r="I652" s="150">
        <v>0.796195216768109</v>
      </c>
      <c r="J652" s="152">
        <v>10.923913043478262</v>
      </c>
    </row>
    <row r="653" spans="1:10" hidden="1">
      <c r="A653" s="64">
        <v>3628</v>
      </c>
      <c r="B653" s="150">
        <v>0.65</v>
      </c>
      <c r="C653" s="159">
        <v>0.66249999999999998</v>
      </c>
      <c r="D653" s="152">
        <v>44615384.615384616</v>
      </c>
      <c r="E653" s="26">
        <f>VLOOKUP(3628,季財報!$A:$H,8,0)</f>
        <v>0</v>
      </c>
      <c r="F653" s="159">
        <v>-2.3416666666666633E-3</v>
      </c>
      <c r="G653" s="152">
        <v>2224076923.0769234</v>
      </c>
      <c r="H653" s="152">
        <v>2744191000</v>
      </c>
      <c r="I653" s="150">
        <v>0.79751578233338571</v>
      </c>
      <c r="J653" s="152">
        <v>28.940493468795356</v>
      </c>
    </row>
    <row r="654" spans="1:10" hidden="1">
      <c r="A654" s="64">
        <v>6235</v>
      </c>
      <c r="B654" s="52">
        <v>-0.09</v>
      </c>
      <c r="C654" s="160">
        <v>0</v>
      </c>
      <c r="D654" s="157">
        <v>155555555.55555555</v>
      </c>
      <c r="E654" s="26">
        <f>VLOOKUP(6235,季財報!$A:$H,8,0)</f>
        <v>2</v>
      </c>
      <c r="F654" s="160">
        <v>5.5716666666666671E-2</v>
      </c>
      <c r="G654" s="54">
        <v>1333111111.1111112</v>
      </c>
      <c r="H654" s="54">
        <v>1722523000</v>
      </c>
      <c r="I654" s="65">
        <v>0.79773034480328353</v>
      </c>
      <c r="J654" s="162">
        <v>0</v>
      </c>
    </row>
    <row r="655" spans="1:10" hidden="1">
      <c r="A655" s="64">
        <v>3561</v>
      </c>
      <c r="B655" s="150">
        <v>0.06</v>
      </c>
      <c r="C655" s="159">
        <v>1</v>
      </c>
      <c r="D655" s="152">
        <v>383333333.33333337</v>
      </c>
      <c r="E655" s="26">
        <f>VLOOKUP(3561,季財報!$A:$H,8,0)</f>
        <v>4</v>
      </c>
      <c r="F655" s="159">
        <v>3.2550000000000016E-2</v>
      </c>
      <c r="G655" s="152">
        <v>7935000000.000001</v>
      </c>
      <c r="H655" s="152">
        <v>10072050000</v>
      </c>
      <c r="I655" s="150">
        <v>0.80307173166251244</v>
      </c>
      <c r="J655" s="152">
        <v>50</v>
      </c>
    </row>
    <row r="656" spans="1:10" hidden="1">
      <c r="A656" s="64">
        <v>1203</v>
      </c>
      <c r="B656" s="150">
        <v>0.47</v>
      </c>
      <c r="C656" s="159">
        <v>0.93908629441624369</v>
      </c>
      <c r="D656" s="152">
        <v>238297872.34042555</v>
      </c>
      <c r="E656" s="26">
        <f>VLOOKUP(1203,季財報!$A:$H,8,0)</f>
        <v>5</v>
      </c>
      <c r="F656" s="159">
        <v>2.9116666666666669E-2</v>
      </c>
      <c r="G656" s="152">
        <v>5433191489.3617029</v>
      </c>
      <c r="H656" s="152">
        <v>6897014000</v>
      </c>
      <c r="I656" s="150">
        <v>0.8033334411743045</v>
      </c>
      <c r="J656" s="152">
        <v>12.914318573893043</v>
      </c>
    </row>
    <row r="657" spans="1:10" hidden="1">
      <c r="A657" s="64">
        <v>2437</v>
      </c>
      <c r="B657" s="150">
        <v>1.64</v>
      </c>
      <c r="C657" s="159">
        <v>0.95260663507109</v>
      </c>
      <c r="D657" s="152">
        <v>66463414.634146348</v>
      </c>
      <c r="E657" s="26">
        <f>VLOOKUP(2437,季財報!$A:$H,8,0)</f>
        <v>3</v>
      </c>
      <c r="F657" s="159">
        <v>1.0925000000000004E-2</v>
      </c>
      <c r="G657" s="152">
        <v>3283292682.9268293</v>
      </c>
      <c r="H657" s="152">
        <v>4085276000</v>
      </c>
      <c r="I657" s="150">
        <v>0.80473136008967416</v>
      </c>
      <c r="J657" s="152">
        <v>7.9051389394490972</v>
      </c>
    </row>
    <row r="658" spans="1:10" hidden="1">
      <c r="A658" s="64">
        <v>2401</v>
      </c>
      <c r="B658" s="150">
        <v>-0.51</v>
      </c>
      <c r="C658" s="159">
        <v>0</v>
      </c>
      <c r="D658" s="152">
        <v>584313725.49019611</v>
      </c>
      <c r="E658" s="26">
        <f>VLOOKUP(2401,季財報!$A:$H,8,0)</f>
        <v>0</v>
      </c>
      <c r="F658" s="159">
        <v>3.0441666666666662E-2</v>
      </c>
      <c r="G658" s="152">
        <v>6924117647.0588236</v>
      </c>
      <c r="H658" s="152">
        <v>8468075000</v>
      </c>
      <c r="I658" s="150">
        <v>0.80745703134659874</v>
      </c>
      <c r="J658" s="152">
        <v>0</v>
      </c>
    </row>
    <row r="659" spans="1:10" hidden="1">
      <c r="A659" s="64">
        <v>5439</v>
      </c>
      <c r="B659" s="52">
        <v>0.6</v>
      </c>
      <c r="C659" s="160">
        <v>0.86111111111111116</v>
      </c>
      <c r="D659" s="157">
        <v>78333333.333333343</v>
      </c>
      <c r="E659" s="26">
        <f>VLOOKUP(5439,季財報!$A:$H,8,0)</f>
        <v>3</v>
      </c>
      <c r="F659" s="160">
        <v>5.5583333333333327E-3</v>
      </c>
      <c r="G659" s="54">
        <v>1492250000.0000002</v>
      </c>
      <c r="H659" s="54">
        <v>1852355000</v>
      </c>
      <c r="I659" s="65">
        <v>0.80797290170696301</v>
      </c>
      <c r="J659" s="162">
        <v>9.2177419354838701</v>
      </c>
    </row>
    <row r="660" spans="1:10" hidden="1">
      <c r="A660" s="64">
        <v>2488</v>
      </c>
      <c r="B660" s="150">
        <v>0.85</v>
      </c>
      <c r="C660" s="159">
        <v>0.8839285714285714</v>
      </c>
      <c r="D660" s="152">
        <v>80000000</v>
      </c>
      <c r="E660" s="26">
        <f>VLOOKUP(2488,季財報!$A:$H,8,0)</f>
        <v>4</v>
      </c>
      <c r="F660" s="159">
        <v>9.7333333333333352E-3</v>
      </c>
      <c r="G660" s="152">
        <v>1916000000</v>
      </c>
      <c r="H660" s="152">
        <v>2371257000</v>
      </c>
      <c r="I660" s="150">
        <v>0.80881797331998251</v>
      </c>
      <c r="J660" s="152">
        <v>7.9691027926322047</v>
      </c>
    </row>
    <row r="661" spans="1:10" hidden="1">
      <c r="A661" s="64">
        <v>1717</v>
      </c>
      <c r="B661" s="150">
        <v>0.77</v>
      </c>
      <c r="C661" s="159">
        <v>0.98334489937543368</v>
      </c>
      <c r="D661" s="152">
        <v>1019480519.4805194</v>
      </c>
      <c r="E661" s="26">
        <f>VLOOKUP(1717,季財報!$A:$H,8,0)</f>
        <v>3</v>
      </c>
      <c r="F661" s="159">
        <v>1.6166666666666673E-2</v>
      </c>
      <c r="G661" s="152">
        <v>31450974025.974026</v>
      </c>
      <c r="H661" s="152">
        <v>38760951000</v>
      </c>
      <c r="I661" s="150">
        <v>0.80954075431350947</v>
      </c>
      <c r="J661" s="152">
        <v>10.18588063312834</v>
      </c>
    </row>
    <row r="662" spans="1:10" hidden="1">
      <c r="A662" s="64">
        <v>1258</v>
      </c>
      <c r="B662" s="150">
        <v>1.32</v>
      </c>
      <c r="C662" s="159">
        <v>1</v>
      </c>
      <c r="D662" s="152">
        <v>34090909.090909086</v>
      </c>
      <c r="E662" s="26">
        <f>VLOOKUP(1258,季財報!$A:$H,8,0)</f>
        <v>6</v>
      </c>
      <c r="F662" s="159">
        <v>4.5066666666666665E-2</v>
      </c>
      <c r="G662" s="152">
        <v>1365340909.0909088</v>
      </c>
      <c r="H662" s="152">
        <v>1741994000</v>
      </c>
      <c r="I662" s="150">
        <v>0.81049480616849734</v>
      </c>
      <c r="J662" s="152">
        <v>7.5852272727272716</v>
      </c>
    </row>
    <row r="663" spans="1:10" hidden="1">
      <c r="A663" s="64">
        <v>6245</v>
      </c>
      <c r="B663" s="52">
        <v>1.24</v>
      </c>
      <c r="C663" s="160">
        <v>0.75657894736842102</v>
      </c>
      <c r="D663" s="157">
        <v>98387096.774193555</v>
      </c>
      <c r="E663" s="26">
        <f>VLOOKUP(6245,季財報!$A:$H,8,0)</f>
        <v>2</v>
      </c>
      <c r="F663" s="160">
        <v>6.5783333333333319E-2</v>
      </c>
      <c r="G663" s="54">
        <v>4270000000</v>
      </c>
      <c r="H663" s="54">
        <v>5356963000</v>
      </c>
      <c r="I663" s="65">
        <v>0.81108254066002361</v>
      </c>
      <c r="J663" s="162">
        <v>11.565217391304348</v>
      </c>
    </row>
    <row r="664" spans="1:10" hidden="1">
      <c r="A664" s="64">
        <v>4706</v>
      </c>
      <c r="B664" s="52">
        <v>0.43</v>
      </c>
      <c r="C664" s="160">
        <v>0.98</v>
      </c>
      <c r="D664" s="157">
        <v>79069767.441860467</v>
      </c>
      <c r="E664" s="26">
        <f>VLOOKUP(4706,季財報!$A:$H,8,0)</f>
        <v>4</v>
      </c>
      <c r="F664" s="160">
        <v>3.8908333333333343E-2</v>
      </c>
      <c r="G664" s="54">
        <v>1186046511.627907</v>
      </c>
      <c r="H664" s="54">
        <v>1479687000</v>
      </c>
      <c r="I664" s="65">
        <v>0.81232390291117462</v>
      </c>
      <c r="J664" s="162">
        <v>8.89890840056953</v>
      </c>
    </row>
    <row r="665" spans="1:10" hidden="1">
      <c r="A665" s="64">
        <v>4430</v>
      </c>
      <c r="B665" s="52">
        <v>0.51</v>
      </c>
      <c r="C665" s="160">
        <v>0.31944444444444442</v>
      </c>
      <c r="D665" s="157">
        <v>56862745.098039217</v>
      </c>
      <c r="E665" s="26">
        <f>VLOOKUP(4430,季財報!$A:$H,8,0)</f>
        <v>2</v>
      </c>
      <c r="F665" s="160">
        <v>4.1833333333333375E-3</v>
      </c>
      <c r="G665" s="54">
        <v>1609215686.2745099</v>
      </c>
      <c r="H665" s="54">
        <v>1951014000</v>
      </c>
      <c r="I665" s="65">
        <v>0.81325682951919154</v>
      </c>
      <c r="J665" s="162">
        <v>43.42710997442456</v>
      </c>
    </row>
    <row r="666" spans="1:10" hidden="1">
      <c r="A666" s="64">
        <v>4960</v>
      </c>
      <c r="B666" s="52">
        <v>0.61</v>
      </c>
      <c r="C666" s="160">
        <v>0.90322580645161288</v>
      </c>
      <c r="D666" s="157">
        <v>519672131.14754099</v>
      </c>
      <c r="E666" s="26">
        <f>VLOOKUP(4960,季財報!$A:$H,8,0)</f>
        <v>2</v>
      </c>
      <c r="F666" s="160">
        <v>-6.5083333333333312E-3</v>
      </c>
      <c r="G666" s="54">
        <v>10783196721.311476</v>
      </c>
      <c r="H666" s="54">
        <v>12999492000</v>
      </c>
      <c r="I666" s="65">
        <v>0.81486402767112853</v>
      </c>
      <c r="J666" s="162">
        <v>9.4152517564402824</v>
      </c>
    </row>
    <row r="667" spans="1:10" hidden="1">
      <c r="A667" s="64">
        <v>5511</v>
      </c>
      <c r="B667" s="52">
        <v>0.34</v>
      </c>
      <c r="C667" s="160">
        <v>0.82222222222222219</v>
      </c>
      <c r="D667" s="157">
        <v>150000000</v>
      </c>
      <c r="E667" s="26">
        <f>VLOOKUP(5511,季財報!$A:$H,8,0)</f>
        <v>0</v>
      </c>
      <c r="F667" s="160">
        <v>0.20015833333333333</v>
      </c>
      <c r="G667" s="54">
        <v>3622500000</v>
      </c>
      <c r="H667" s="54">
        <v>4492663000</v>
      </c>
      <c r="I667" s="65">
        <v>0.8152331690639435</v>
      </c>
      <c r="J667" s="162">
        <v>21.596780604133542</v>
      </c>
    </row>
    <row r="668" spans="1:10" hidden="1">
      <c r="A668" s="64">
        <v>8201</v>
      </c>
      <c r="B668" s="52">
        <v>-0.31</v>
      </c>
      <c r="C668" s="160">
        <v>1</v>
      </c>
      <c r="D668" s="157">
        <v>87096774.193548381</v>
      </c>
      <c r="E668" s="26">
        <f>VLOOKUP(8201,季財報!$A:$H,8,0)</f>
        <v>3</v>
      </c>
      <c r="F668" s="160">
        <v>0.19816666666666669</v>
      </c>
      <c r="G668" s="54">
        <v>805645161.29032254</v>
      </c>
      <c r="H668" s="54">
        <v>981114000</v>
      </c>
      <c r="I668" s="65">
        <v>0.81615644008214039</v>
      </c>
      <c r="J668" s="162">
        <v>0</v>
      </c>
    </row>
    <row r="669" spans="1:10" hidden="1">
      <c r="A669" s="64">
        <v>6115</v>
      </c>
      <c r="B669" s="52">
        <v>1.55</v>
      </c>
      <c r="C669" s="160">
        <v>0.3271276595744681</v>
      </c>
      <c r="D669" s="157">
        <v>179354838.70967743</v>
      </c>
      <c r="E669" s="26">
        <f>VLOOKUP(6115,季財報!$A:$H,8,0)</f>
        <v>5</v>
      </c>
      <c r="F669" s="160">
        <v>2.3083333333333345E-3</v>
      </c>
      <c r="G669" s="54">
        <v>5900774193.5483875</v>
      </c>
      <c r="H669" s="54">
        <v>7126694000</v>
      </c>
      <c r="I669" s="65">
        <v>0.81802725940654886</v>
      </c>
      <c r="J669" s="162">
        <v>16.22134801993181</v>
      </c>
    </row>
    <row r="670" spans="1:10" hidden="1">
      <c r="A670" s="64">
        <v>2476</v>
      </c>
      <c r="B670" s="150">
        <v>0.77</v>
      </c>
      <c r="C670" s="159">
        <v>0.56561085972850678</v>
      </c>
      <c r="D670" s="152">
        <v>180519480.51948053</v>
      </c>
      <c r="E670" s="26">
        <f>VLOOKUP(2476,季財報!$A:$H,8,0)</f>
        <v>3</v>
      </c>
      <c r="F670" s="159">
        <v>1.685E-2</v>
      </c>
      <c r="G670" s="152">
        <v>3854090909.0909095</v>
      </c>
      <c r="H670" s="152">
        <v>4747788000</v>
      </c>
      <c r="I670" s="150">
        <v>0.81880524581549385</v>
      </c>
      <c r="J670" s="152">
        <v>12.255454545454546</v>
      </c>
    </row>
    <row r="671" spans="1:10" hidden="1">
      <c r="A671" s="64">
        <v>3516</v>
      </c>
      <c r="B671" s="150">
        <v>0.97</v>
      </c>
      <c r="C671" s="159">
        <v>0</v>
      </c>
      <c r="D671" s="152">
        <v>71134020.618556708</v>
      </c>
      <c r="E671" s="26">
        <f>VLOOKUP(3516,季財報!$A:$H,8,0)</f>
        <v>1</v>
      </c>
      <c r="F671" s="159">
        <v>5.2691666666666657E-2</v>
      </c>
      <c r="G671" s="152">
        <v>621711340.2061857</v>
      </c>
      <c r="H671" s="152">
        <v>754519000</v>
      </c>
      <c r="I671" s="150">
        <v>0.8194396756124408</v>
      </c>
      <c r="J671" s="152">
        <v>0</v>
      </c>
    </row>
    <row r="672" spans="1:10" hidden="1">
      <c r="A672" s="64">
        <v>5383</v>
      </c>
      <c r="B672" s="52">
        <v>-0.35</v>
      </c>
      <c r="C672" s="160">
        <v>1</v>
      </c>
      <c r="D672" s="157">
        <v>71428571.428571433</v>
      </c>
      <c r="E672" s="26">
        <f>VLOOKUP(5383,季財報!$A:$H,8,0)</f>
        <v>0</v>
      </c>
      <c r="F672" s="160">
        <v>1.4191666666666665E-2</v>
      </c>
      <c r="G672" s="54">
        <v>721428571.42857146</v>
      </c>
      <c r="H672" s="54">
        <v>872811000</v>
      </c>
      <c r="I672" s="65">
        <v>0.8201910574162975</v>
      </c>
      <c r="J672" s="162">
        <v>0</v>
      </c>
    </row>
    <row r="673" spans="1:10" hidden="1">
      <c r="A673" s="64">
        <v>3311</v>
      </c>
      <c r="B673" s="150">
        <v>0.37</v>
      </c>
      <c r="C673" s="159">
        <v>0</v>
      </c>
      <c r="D673" s="152">
        <v>178378378.37837839</v>
      </c>
      <c r="E673" s="26">
        <f>VLOOKUP(3311,季財報!$A:$H,8,0)</f>
        <v>4</v>
      </c>
      <c r="F673" s="159">
        <v>-4.9583333333333328E-3</v>
      </c>
      <c r="G673" s="152">
        <v>2961081081.0810814</v>
      </c>
      <c r="H673" s="152">
        <v>3557126000</v>
      </c>
      <c r="I673" s="150">
        <v>0.82140039831171785</v>
      </c>
      <c r="J673" s="152">
        <v>0</v>
      </c>
    </row>
    <row r="674" spans="1:10" hidden="1">
      <c r="A674" s="64">
        <v>5234</v>
      </c>
      <c r="B674" s="52">
        <v>0.71</v>
      </c>
      <c r="C674" s="160">
        <v>0.97674418604651159</v>
      </c>
      <c r="D674" s="157">
        <v>92957746.478873238</v>
      </c>
      <c r="E674" s="26">
        <f>VLOOKUP(5234,季財報!$A:$H,8,0)</f>
        <v>3</v>
      </c>
      <c r="F674" s="160">
        <v>5.3416666666666656E-3</v>
      </c>
      <c r="G674" s="54">
        <v>2802676056.338028</v>
      </c>
      <c r="H674" s="54">
        <v>3405628000</v>
      </c>
      <c r="I674" s="65">
        <v>0.82340638092896967</v>
      </c>
      <c r="J674" s="162">
        <v>10.868963782696177</v>
      </c>
    </row>
    <row r="675" spans="1:10" hidden="1">
      <c r="A675" s="64">
        <v>5305</v>
      </c>
      <c r="B675" s="52">
        <v>0.03</v>
      </c>
      <c r="C675" s="160">
        <v>0</v>
      </c>
      <c r="D675" s="157">
        <v>366666666.66666669</v>
      </c>
      <c r="E675" s="26">
        <f>VLOOKUP(5305,季財報!$A:$H,8,0)</f>
        <v>1</v>
      </c>
      <c r="F675" s="160">
        <v>1.168333333333333E-2</v>
      </c>
      <c r="G675" s="54">
        <v>7663333333.333333</v>
      </c>
      <c r="H675" s="54">
        <v>9353609000</v>
      </c>
      <c r="I675" s="65">
        <v>0.82410162079890537</v>
      </c>
      <c r="J675" s="162">
        <v>0</v>
      </c>
    </row>
    <row r="676" spans="1:10" hidden="1">
      <c r="A676" s="64">
        <v>1507</v>
      </c>
      <c r="B676" s="150">
        <v>1.31</v>
      </c>
      <c r="C676" s="159">
        <v>0.89756592292089254</v>
      </c>
      <c r="D676" s="152">
        <v>409160305.34351146</v>
      </c>
      <c r="E676" s="26">
        <f>VLOOKUP(1507,季財報!$A:$H,8,0)</f>
        <v>2</v>
      </c>
      <c r="F676" s="159">
        <v>-7.5250000000000039E-3</v>
      </c>
      <c r="G676" s="152">
        <v>19987480916.030537</v>
      </c>
      <c r="H676" s="152">
        <v>23785857000</v>
      </c>
      <c r="I676" s="150">
        <v>0.82470284843993868</v>
      </c>
      <c r="J676" s="152">
        <v>10.386444990727563</v>
      </c>
    </row>
    <row r="677" spans="1:10" hidden="1">
      <c r="A677" s="64">
        <v>5706</v>
      </c>
      <c r="B677" s="52">
        <v>1.33</v>
      </c>
      <c r="C677" s="160">
        <v>0.59375</v>
      </c>
      <c r="D677" s="157">
        <v>62406015.037593983</v>
      </c>
      <c r="E677" s="26">
        <f>VLOOKUP(5706,季財報!$A:$H,8,0)</f>
        <v>4</v>
      </c>
      <c r="F677" s="160">
        <v>0.13658333333333333</v>
      </c>
      <c r="G677" s="54">
        <v>2390150375.9398494</v>
      </c>
      <c r="H677" s="54">
        <v>2924408000</v>
      </c>
      <c r="I677" s="65">
        <v>0.82595333758834355</v>
      </c>
      <c r="J677" s="162">
        <v>12.125049465769685</v>
      </c>
    </row>
    <row r="678" spans="1:10" hidden="1">
      <c r="A678" s="64">
        <v>3419</v>
      </c>
      <c r="B678" s="150">
        <v>0.05</v>
      </c>
      <c r="C678" s="159">
        <v>0.93023255813953487</v>
      </c>
      <c r="D678" s="152">
        <v>120000000</v>
      </c>
      <c r="E678" s="26">
        <f>VLOOKUP(3419,季財報!$A:$H,8,0)</f>
        <v>5</v>
      </c>
      <c r="F678" s="159">
        <v>3.6975000000000008E-2</v>
      </c>
      <c r="G678" s="152">
        <v>1782000000</v>
      </c>
      <c r="H678" s="152">
        <v>2191926000</v>
      </c>
      <c r="I678" s="150">
        <v>0.82722892237417489</v>
      </c>
      <c r="J678" s="152">
        <v>50</v>
      </c>
    </row>
    <row r="679" spans="1:10" hidden="1">
      <c r="A679" s="64">
        <v>2417</v>
      </c>
      <c r="B679" s="150">
        <v>-0.27</v>
      </c>
      <c r="C679" s="159">
        <v>1</v>
      </c>
      <c r="D679" s="152">
        <v>192592592.59259257</v>
      </c>
      <c r="E679" s="26">
        <f>VLOOKUP(2417,季財報!$A:$H,8,0)</f>
        <v>1</v>
      </c>
      <c r="F679" s="159">
        <v>0.16287499999999999</v>
      </c>
      <c r="G679" s="152">
        <v>1681333333.3333333</v>
      </c>
      <c r="H679" s="152">
        <v>2122904000</v>
      </c>
      <c r="I679" s="150">
        <v>0.82789106568652504</v>
      </c>
      <c r="J679" s="152">
        <v>0</v>
      </c>
    </row>
    <row r="680" spans="1:10" hidden="1">
      <c r="A680" s="64">
        <v>1444</v>
      </c>
      <c r="B680" s="150">
        <v>0.14000000000000001</v>
      </c>
      <c r="C680" s="159">
        <v>0.14979757085020243</v>
      </c>
      <c r="D680" s="152">
        <v>971428571.42857134</v>
      </c>
      <c r="E680" s="26">
        <f>VLOOKUP(1444,季財報!$A:$H,8,0)</f>
        <v>2</v>
      </c>
      <c r="F680" s="159">
        <v>-1.2775000000000002E-2</v>
      </c>
      <c r="G680" s="152">
        <v>8820571428.5714283</v>
      </c>
      <c r="H680" s="152">
        <v>10493687000</v>
      </c>
      <c r="I680" s="150">
        <v>0.82853338881937777</v>
      </c>
      <c r="J680" s="152">
        <v>50</v>
      </c>
    </row>
    <row r="681" spans="1:10" hidden="1">
      <c r="A681" s="64">
        <v>3526</v>
      </c>
      <c r="B681" s="150">
        <v>0.64</v>
      </c>
      <c r="C681" s="159">
        <v>0</v>
      </c>
      <c r="D681" s="152">
        <v>65625000</v>
      </c>
      <c r="E681" s="26">
        <f>VLOOKUP(3526,季財報!$A:$H,8,0)</f>
        <v>4</v>
      </c>
      <c r="F681" s="159">
        <v>1.9666666666666662E-2</v>
      </c>
      <c r="G681" s="152">
        <v>1407656250</v>
      </c>
      <c r="H681" s="152">
        <v>1694878000</v>
      </c>
      <c r="I681" s="150">
        <v>0.83543752184804976</v>
      </c>
      <c r="J681" s="152">
        <v>0</v>
      </c>
    </row>
    <row r="682" spans="1:10" hidden="1">
      <c r="A682" s="64">
        <v>8908</v>
      </c>
      <c r="B682" s="52">
        <v>0.26</v>
      </c>
      <c r="C682" s="160">
        <v>1</v>
      </c>
      <c r="D682" s="157">
        <v>134615384.61538461</v>
      </c>
      <c r="E682" s="26">
        <f>VLOOKUP(8908,季財報!$A:$H,8,0)</f>
        <v>2</v>
      </c>
      <c r="F682" s="160">
        <v>5.7166666666666685E-3</v>
      </c>
      <c r="G682" s="54">
        <v>4556730769.2307692</v>
      </c>
      <c r="H682" s="54">
        <v>5445880000</v>
      </c>
      <c r="I682" s="65">
        <v>0.83553765527547863</v>
      </c>
      <c r="J682" s="162">
        <v>32.54807692307692</v>
      </c>
    </row>
    <row r="683" spans="1:10" hidden="1">
      <c r="A683" s="64">
        <v>1704</v>
      </c>
      <c r="B683" s="150">
        <v>9.08</v>
      </c>
      <c r="C683" s="159">
        <v>0.17786039817702087</v>
      </c>
      <c r="D683" s="152">
        <v>852863436.123348</v>
      </c>
      <c r="E683" s="26">
        <f>VLOOKUP(1704,季財報!$A:$H,8,0)</f>
        <v>4</v>
      </c>
      <c r="F683" s="159">
        <v>2.8966666666666668E-2</v>
      </c>
      <c r="G683" s="152">
        <v>29423788546.255505</v>
      </c>
      <c r="H683" s="152">
        <v>35625682000</v>
      </c>
      <c r="I683" s="150">
        <v>0.83688625862808386</v>
      </c>
      <c r="J683" s="152">
        <v>5.3406484949842712</v>
      </c>
    </row>
    <row r="684" spans="1:10" hidden="1">
      <c r="A684" s="64">
        <v>6214</v>
      </c>
      <c r="B684" s="52">
        <v>-0.25</v>
      </c>
      <c r="C684" s="160">
        <v>0.99152542372881358</v>
      </c>
      <c r="D684" s="157">
        <v>248000000</v>
      </c>
      <c r="E684" s="26">
        <f>VLOOKUP(6214,季財報!$A:$H,8,0)</f>
        <v>1</v>
      </c>
      <c r="F684" s="160">
        <v>8.0016666666666666E-2</v>
      </c>
      <c r="G684" s="54">
        <v>13441600000</v>
      </c>
      <c r="H684" s="54">
        <v>16057676000</v>
      </c>
      <c r="I684" s="65">
        <v>0.83717600582914065</v>
      </c>
      <c r="J684" s="162">
        <v>0</v>
      </c>
    </row>
    <row r="685" spans="1:10" hidden="1">
      <c r="A685" s="64">
        <v>5349</v>
      </c>
      <c r="B685" s="52">
        <v>0.45</v>
      </c>
      <c r="C685" s="160">
        <v>0.89686098654708524</v>
      </c>
      <c r="D685" s="157">
        <v>215555555.55555555</v>
      </c>
      <c r="E685" s="26">
        <f>VLOOKUP(5349,季財報!$A:$H,8,0)</f>
        <v>1</v>
      </c>
      <c r="F685" s="160">
        <v>-7.9833333333333301E-3</v>
      </c>
      <c r="G685" s="54">
        <v>6822333333.333333</v>
      </c>
      <c r="H685" s="54">
        <v>7965153000</v>
      </c>
      <c r="I685" s="65">
        <v>0.84173214797443063</v>
      </c>
      <c r="J685" s="162">
        <v>19.605416666666667</v>
      </c>
    </row>
    <row r="686" spans="1:10" hidden="1">
      <c r="A686" s="64">
        <v>3055</v>
      </c>
      <c r="B686" s="150">
        <v>0.1</v>
      </c>
      <c r="C686" s="159">
        <v>0.91428571428571426</v>
      </c>
      <c r="D686" s="152">
        <v>130000000</v>
      </c>
      <c r="E686" s="26">
        <f>VLOOKUP(3055,季財報!$A:$H,8,0)</f>
        <v>0</v>
      </c>
      <c r="F686" s="159">
        <v>8.8824999999999987E-2</v>
      </c>
      <c r="G686" s="152">
        <v>2262000000</v>
      </c>
      <c r="H686" s="152">
        <v>2787838000</v>
      </c>
      <c r="I686" s="150">
        <v>0.84574026576135319</v>
      </c>
      <c r="J686" s="152">
        <v>47.578124999999993</v>
      </c>
    </row>
    <row r="687" spans="1:10" hidden="1">
      <c r="A687" s="64">
        <v>2204</v>
      </c>
      <c r="B687" s="150">
        <v>0.51</v>
      </c>
      <c r="C687" s="159">
        <v>0.48193508879363134</v>
      </c>
      <c r="D687" s="152">
        <v>1372549019.6078432</v>
      </c>
      <c r="E687" s="26">
        <f>VLOOKUP(2204,季財報!$A:$H,8,0)</f>
        <v>3</v>
      </c>
      <c r="F687" s="159">
        <v>6.7491666666666672E-2</v>
      </c>
      <c r="G687" s="152">
        <v>30401960784.313725</v>
      </c>
      <c r="H687" s="152">
        <v>36387859000</v>
      </c>
      <c r="I687" s="150">
        <v>0.84664605209939714</v>
      </c>
      <c r="J687" s="152">
        <v>22.529679597378976</v>
      </c>
    </row>
    <row r="688" spans="1:10" hidden="1">
      <c r="A688" s="64">
        <v>6443</v>
      </c>
      <c r="B688" s="52">
        <v>0.2</v>
      </c>
      <c r="C688" s="160">
        <v>0</v>
      </c>
      <c r="D688" s="157">
        <v>325000000</v>
      </c>
      <c r="E688" s="26">
        <f>VLOOKUP(6443,季財報!$A:$H,8,0)</f>
        <v>1</v>
      </c>
      <c r="F688" s="160">
        <v>1.8658333333333332E-2</v>
      </c>
      <c r="G688" s="54">
        <v>5833750000</v>
      </c>
      <c r="H688" s="54">
        <v>6935719000</v>
      </c>
      <c r="I688" s="65">
        <v>0.84758530990639258</v>
      </c>
      <c r="J688" s="162">
        <v>0</v>
      </c>
    </row>
    <row r="689" spans="1:10" hidden="1">
      <c r="A689" s="64">
        <v>2383</v>
      </c>
      <c r="B689" s="150">
        <v>2.4300000000000002</v>
      </c>
      <c r="C689" s="159">
        <v>0.97838270616493195</v>
      </c>
      <c r="D689" s="152">
        <v>316872427.98353904</v>
      </c>
      <c r="E689" s="26">
        <f>VLOOKUP(2383,季財報!$A:$H,8,0)</f>
        <v>5</v>
      </c>
      <c r="F689" s="159">
        <v>-1.0666666666666706E-3</v>
      </c>
      <c r="G689" s="152">
        <v>18030041152.263371</v>
      </c>
      <c r="H689" s="152">
        <v>21006792000</v>
      </c>
      <c r="I689" s="150">
        <v>0.85282074677143849</v>
      </c>
      <c r="J689" s="152">
        <v>5.9832511635112109</v>
      </c>
    </row>
    <row r="690" spans="1:10" hidden="1">
      <c r="A690" s="64">
        <v>3693</v>
      </c>
      <c r="B690" s="150">
        <v>3.35</v>
      </c>
      <c r="C690" s="159">
        <v>0.69273743016759781</v>
      </c>
      <c r="D690" s="152">
        <v>38208955.223880596</v>
      </c>
      <c r="E690" s="26">
        <f>VLOOKUP(3693,季財報!$A:$H,8,0)</f>
        <v>4</v>
      </c>
      <c r="F690" s="159">
        <v>9.3500000000000014E-2</v>
      </c>
      <c r="G690" s="152">
        <v>4336716417.9104481</v>
      </c>
      <c r="H690" s="152">
        <v>5049638000</v>
      </c>
      <c r="I690" s="150">
        <v>0.8529532793960547</v>
      </c>
      <c r="J690" s="152">
        <v>12.227070293692824</v>
      </c>
    </row>
    <row r="691" spans="1:10" hidden="1">
      <c r="A691" s="64">
        <v>5460</v>
      </c>
      <c r="B691" s="52">
        <v>0.18</v>
      </c>
      <c r="C691" s="160">
        <v>0.91428571428571426</v>
      </c>
      <c r="D691" s="157">
        <v>72222222.222222224</v>
      </c>
      <c r="E691" s="26">
        <f>VLOOKUP(5460,季財報!$A:$H,8,0)</f>
        <v>1</v>
      </c>
      <c r="F691" s="160">
        <v>-3.0000000000000279E-4</v>
      </c>
      <c r="G691" s="54">
        <v>819722222.22222221</v>
      </c>
      <c r="H691" s="54">
        <v>957749000</v>
      </c>
      <c r="I691" s="65">
        <v>0.85368167942994544</v>
      </c>
      <c r="J691" s="162">
        <v>17.241753472222221</v>
      </c>
    </row>
    <row r="692" spans="1:10" hidden="1">
      <c r="A692" s="64">
        <v>2404</v>
      </c>
      <c r="B692" s="150">
        <v>1.81</v>
      </c>
      <c r="C692" s="159">
        <v>0.44009216589861749</v>
      </c>
      <c r="D692" s="152">
        <v>238674033.14917126</v>
      </c>
      <c r="E692" s="26">
        <f>VLOOKUP(2404,季財報!$A:$H,8,0)</f>
        <v>3</v>
      </c>
      <c r="F692" s="159">
        <v>1.6074999999999999E-2</v>
      </c>
      <c r="G692" s="152">
        <v>10322651933.701656</v>
      </c>
      <c r="H692" s="152">
        <v>11943691000</v>
      </c>
      <c r="I692" s="150">
        <v>0.85430005437329037</v>
      </c>
      <c r="J692" s="152">
        <v>13.573876948887795</v>
      </c>
    </row>
    <row r="693" spans="1:10" hidden="1">
      <c r="A693" s="64">
        <v>3646</v>
      </c>
      <c r="B693" s="150">
        <v>0.56999999999999995</v>
      </c>
      <c r="C693" s="159">
        <v>0</v>
      </c>
      <c r="D693" s="152">
        <v>38596491.228070177</v>
      </c>
      <c r="E693" s="26">
        <f>VLOOKUP(3646,季財報!$A:$H,8,0)</f>
        <v>3</v>
      </c>
      <c r="F693" s="159">
        <v>2.0341666666666661E-2</v>
      </c>
      <c r="G693" s="152">
        <v>501754385.9649123</v>
      </c>
      <c r="H693" s="152">
        <v>587125000</v>
      </c>
      <c r="I693" s="150">
        <v>0.85524663608472162</v>
      </c>
      <c r="J693" s="152">
        <v>0</v>
      </c>
    </row>
    <row r="694" spans="1:10" hidden="1">
      <c r="A694" s="64">
        <v>6205</v>
      </c>
      <c r="B694" s="52">
        <v>1.26</v>
      </c>
      <c r="C694" s="160">
        <v>0.30714285714285716</v>
      </c>
      <c r="D694" s="157">
        <v>71428571.428571433</v>
      </c>
      <c r="E694" s="26">
        <f>VLOOKUP(6205,季財報!$A:$H,8,0)</f>
        <v>5</v>
      </c>
      <c r="F694" s="160">
        <v>-1.6091666666666664E-2</v>
      </c>
      <c r="G694" s="54">
        <v>1939285714.2857144</v>
      </c>
      <c r="H694" s="54">
        <v>2204782000</v>
      </c>
      <c r="I694" s="65">
        <v>0.85793006722885368</v>
      </c>
      <c r="J694" s="162">
        <v>17.538759689922479</v>
      </c>
    </row>
    <row r="695" spans="1:10" hidden="1">
      <c r="A695" s="64">
        <v>1583</v>
      </c>
      <c r="B695" s="150">
        <v>2.84</v>
      </c>
      <c r="C695" s="159">
        <v>0.54495912806539515</v>
      </c>
      <c r="D695" s="152">
        <v>100000000</v>
      </c>
      <c r="E695" s="26">
        <f>VLOOKUP(1583,季財報!$A:$H,8,0)</f>
        <v>1</v>
      </c>
      <c r="F695" s="159">
        <v>2.6049999999999993E-2</v>
      </c>
      <c r="G695" s="152">
        <v>6420000000</v>
      </c>
      <c r="H695" s="152">
        <v>7414204000</v>
      </c>
      <c r="I695" s="150">
        <v>0.85872191949227861</v>
      </c>
      <c r="J695" s="152">
        <v>10.370334507042253</v>
      </c>
    </row>
    <row r="696" spans="1:10" hidden="1">
      <c r="A696" s="64">
        <v>3217</v>
      </c>
      <c r="B696" s="150">
        <v>0.6</v>
      </c>
      <c r="C696" s="159">
        <v>0.37096774193548387</v>
      </c>
      <c r="D696" s="152">
        <v>83333333.333333343</v>
      </c>
      <c r="E696" s="26">
        <f>VLOOKUP(3217,季財報!$A:$H,8,0)</f>
        <v>5</v>
      </c>
      <c r="F696" s="159">
        <v>1.2975E-2</v>
      </c>
      <c r="G696" s="152">
        <v>1075000000.0000002</v>
      </c>
      <c r="H696" s="152">
        <v>1244678000</v>
      </c>
      <c r="I696" s="150">
        <v>0.85995665818442768</v>
      </c>
      <c r="J696" s="152">
        <v>14.489130434782609</v>
      </c>
    </row>
    <row r="697" spans="1:10" hidden="1">
      <c r="A697" s="64">
        <v>6127</v>
      </c>
      <c r="B697" s="52">
        <v>0.03</v>
      </c>
      <c r="C697" s="160">
        <v>1</v>
      </c>
      <c r="D697" s="157">
        <v>100000000</v>
      </c>
      <c r="E697" s="26">
        <f>VLOOKUP(6127,季財報!$A:$H,8,0)</f>
        <v>1</v>
      </c>
      <c r="F697" s="160">
        <v>-5.4250000000000001E-3</v>
      </c>
      <c r="G697" s="54">
        <v>927000000</v>
      </c>
      <c r="H697" s="54">
        <v>1065058000</v>
      </c>
      <c r="I697" s="65">
        <v>0.86055723633946613</v>
      </c>
      <c r="J697" s="162">
        <v>50</v>
      </c>
    </row>
    <row r="698" spans="1:10" hidden="1">
      <c r="A698" s="64">
        <v>2015</v>
      </c>
      <c r="B698" s="150">
        <v>0.64</v>
      </c>
      <c r="C698" s="159">
        <v>0.87662337662337664</v>
      </c>
      <c r="D698" s="152">
        <v>581250000</v>
      </c>
      <c r="E698" s="26">
        <f>VLOOKUP(2015,季財報!$A:$H,8,0)</f>
        <v>3</v>
      </c>
      <c r="F698" s="159">
        <v>1.7174999999999996E-2</v>
      </c>
      <c r="G698" s="152">
        <v>21448125000</v>
      </c>
      <c r="H698" s="152">
        <v>24088357000</v>
      </c>
      <c r="I698" s="150">
        <v>0.86060133244769921</v>
      </c>
      <c r="J698" s="152">
        <v>16.442708333333332</v>
      </c>
    </row>
    <row r="699" spans="1:10" hidden="1">
      <c r="A699" s="64">
        <v>2002</v>
      </c>
      <c r="B699" s="150">
        <v>0.05</v>
      </c>
      <c r="C699" s="159">
        <v>0.69217923740606735</v>
      </c>
      <c r="D699" s="152">
        <v>14880000000</v>
      </c>
      <c r="E699" s="26">
        <f>VLOOKUP(2002,季財報!$A:$H,8,0)</f>
        <v>1</v>
      </c>
      <c r="F699" s="159">
        <v>-2.52E-2</v>
      </c>
      <c r="G699" s="152">
        <v>260400000000</v>
      </c>
      <c r="H699" s="152">
        <v>293648558000</v>
      </c>
      <c r="I699" s="150">
        <v>0.86174636408558847</v>
      </c>
      <c r="J699" s="152">
        <v>50</v>
      </c>
    </row>
    <row r="700" spans="1:10" hidden="1">
      <c r="A700" s="64">
        <v>2464</v>
      </c>
      <c r="B700" s="150">
        <v>0.93</v>
      </c>
      <c r="C700" s="159">
        <v>0.93602693602693599</v>
      </c>
      <c r="D700" s="152">
        <v>191397849.46236557</v>
      </c>
      <c r="E700" s="26">
        <f>VLOOKUP(2464,季財報!$A:$H,8,0)</f>
        <v>3</v>
      </c>
      <c r="F700" s="159">
        <v>2.9991666666666656E-2</v>
      </c>
      <c r="G700" s="152">
        <v>6765913978.4946232</v>
      </c>
      <c r="H700" s="152">
        <v>8063293000</v>
      </c>
      <c r="I700" s="150">
        <v>0.86420658587113131</v>
      </c>
      <c r="J700" s="152">
        <v>10.15215247157113</v>
      </c>
    </row>
    <row r="701" spans="1:10" hidden="1">
      <c r="A701" s="64">
        <v>8040</v>
      </c>
      <c r="B701" s="52">
        <v>-0.26</v>
      </c>
      <c r="C701" s="160">
        <v>1</v>
      </c>
      <c r="D701" s="157">
        <v>80769230.769230768</v>
      </c>
      <c r="E701" s="26">
        <f>VLOOKUP(8040,季財報!$A:$H,8,0)</f>
        <v>1</v>
      </c>
      <c r="F701" s="160">
        <v>3.9766666666666652E-2</v>
      </c>
      <c r="G701" s="54">
        <v>605769230.76923072</v>
      </c>
      <c r="H701" s="54">
        <v>710020000</v>
      </c>
      <c r="I701" s="65">
        <v>0.86567028657918643</v>
      </c>
      <c r="J701" s="162">
        <v>0</v>
      </c>
    </row>
    <row r="702" spans="1:10" hidden="1">
      <c r="A702" s="64">
        <v>5464</v>
      </c>
      <c r="B702" s="52">
        <v>2.14</v>
      </c>
      <c r="C702" s="160">
        <v>0</v>
      </c>
      <c r="D702" s="157">
        <v>71028037.383177564</v>
      </c>
      <c r="E702" s="26">
        <f>VLOOKUP(5464,季財報!$A:$H,8,0)</f>
        <v>2</v>
      </c>
      <c r="F702" s="160">
        <v>2.8833333333333339E-2</v>
      </c>
      <c r="G702" s="54">
        <v>1211028037.3831775</v>
      </c>
      <c r="H702" s="54">
        <v>1405914000</v>
      </c>
      <c r="I702" s="65">
        <v>0.86681557324685243</v>
      </c>
      <c r="J702" s="162">
        <v>0</v>
      </c>
    </row>
    <row r="703" spans="1:10" hidden="1">
      <c r="A703" s="64">
        <v>3642</v>
      </c>
      <c r="B703" s="150">
        <v>-5.33</v>
      </c>
      <c r="C703" s="159">
        <v>1</v>
      </c>
      <c r="D703" s="152">
        <v>29831144.465290807</v>
      </c>
      <c r="E703" s="26">
        <f>VLOOKUP(3642,季財報!$A:$H,8,0)</f>
        <v>1</v>
      </c>
      <c r="F703" s="159">
        <v>-6.3333333333333297E-3</v>
      </c>
      <c r="G703" s="152">
        <v>695065666.04127586</v>
      </c>
      <c r="H703" s="152">
        <v>771576000</v>
      </c>
      <c r="I703" s="150">
        <v>0.86966043411508942</v>
      </c>
      <c r="J703" s="152">
        <v>0</v>
      </c>
    </row>
    <row r="704" spans="1:10" hidden="1">
      <c r="A704" s="64">
        <v>6508</v>
      </c>
      <c r="B704" s="52">
        <v>0.56000000000000005</v>
      </c>
      <c r="C704" s="160">
        <v>0.80952380952380953</v>
      </c>
      <c r="D704" s="157">
        <v>80357142.857142851</v>
      </c>
      <c r="E704" s="26">
        <f>VLOOKUP(6508,季財報!$A:$H,8,0)</f>
        <v>1</v>
      </c>
      <c r="F704" s="160">
        <v>7.5333333333333407E-3</v>
      </c>
      <c r="G704" s="54">
        <v>2125446428.5714283</v>
      </c>
      <c r="H704" s="54">
        <v>2409969000</v>
      </c>
      <c r="I704" s="65">
        <v>0.87065997672095508</v>
      </c>
      <c r="J704" s="162">
        <v>14.586397058823527</v>
      </c>
    </row>
    <row r="705" spans="1:10" hidden="1">
      <c r="A705" s="64">
        <v>3013</v>
      </c>
      <c r="B705" s="150">
        <v>0.4</v>
      </c>
      <c r="C705" s="159">
        <v>0.44047619047619047</v>
      </c>
      <c r="D705" s="152">
        <v>177500000</v>
      </c>
      <c r="E705" s="26">
        <f>VLOOKUP(3013,季財報!$A:$H,8,0)</f>
        <v>2</v>
      </c>
      <c r="F705" s="159">
        <v>2.4499999999999997E-2</v>
      </c>
      <c r="G705" s="152">
        <v>2804500000</v>
      </c>
      <c r="H705" s="152">
        <v>3201494000</v>
      </c>
      <c r="I705" s="150">
        <v>0.87119351803443579</v>
      </c>
      <c r="J705" s="152">
        <v>22.418918918918919</v>
      </c>
    </row>
    <row r="706" spans="1:10" hidden="1">
      <c r="A706" s="64">
        <v>3504</v>
      </c>
      <c r="B706" s="150">
        <v>0.5</v>
      </c>
      <c r="C706" s="159">
        <v>0.54838709677419351</v>
      </c>
      <c r="D706" s="152">
        <v>116000000</v>
      </c>
      <c r="E706" s="26">
        <f>VLOOKUP(3504,季財報!$A:$H,8,0)</f>
        <v>2</v>
      </c>
      <c r="F706" s="159">
        <v>3.4449999999999995E-2</v>
      </c>
      <c r="G706" s="152">
        <v>4141200000.0000005</v>
      </c>
      <c r="H706" s="152">
        <v>4711824000</v>
      </c>
      <c r="I706" s="150">
        <v>0.87522709154589651</v>
      </c>
      <c r="J706" s="152">
        <v>32.550000000000004</v>
      </c>
    </row>
    <row r="707" spans="1:10" hidden="1">
      <c r="A707" s="64">
        <v>2033</v>
      </c>
      <c r="B707" s="150">
        <v>-0.05</v>
      </c>
      <c r="C707" s="159">
        <v>0.75</v>
      </c>
      <c r="D707" s="152">
        <v>80000000</v>
      </c>
      <c r="E707" s="26">
        <f>VLOOKUP(2033,季財報!$A:$H,8,0)</f>
        <v>1</v>
      </c>
      <c r="F707" s="159">
        <v>2.2275E-2</v>
      </c>
      <c r="G707" s="152">
        <v>660800000</v>
      </c>
      <c r="H707" s="152">
        <v>750245000</v>
      </c>
      <c r="I707" s="150">
        <v>0.87742826413140174</v>
      </c>
      <c r="J707" s="152">
        <v>0</v>
      </c>
    </row>
    <row r="708" spans="1:10" hidden="1">
      <c r="A708" s="64">
        <v>4173</v>
      </c>
      <c r="B708" s="52">
        <v>7.0000000000000007E-2</v>
      </c>
      <c r="C708" s="160">
        <v>1</v>
      </c>
      <c r="D708" s="157">
        <v>42857142.857142851</v>
      </c>
      <c r="E708" s="26">
        <f>VLOOKUP(4173,季財報!$A:$H,8,0)</f>
        <v>1</v>
      </c>
      <c r="F708" s="160">
        <v>2.1824999999999997E-2</v>
      </c>
      <c r="G708" s="54">
        <v>1180714285.7142856</v>
      </c>
      <c r="H708" s="54">
        <v>1360063000</v>
      </c>
      <c r="I708" s="65">
        <v>0.87919321443676735</v>
      </c>
      <c r="J708" s="162">
        <v>50</v>
      </c>
    </row>
    <row r="709" spans="1:10" hidden="1">
      <c r="A709" s="64">
        <v>9939</v>
      </c>
      <c r="B709" s="52">
        <v>0.74</v>
      </c>
      <c r="C709" s="160">
        <v>1</v>
      </c>
      <c r="D709" s="157">
        <v>309459459.45945948</v>
      </c>
      <c r="E709" s="26">
        <f>VLOOKUP(9939,季財報!$A:$H,8,0)</f>
        <v>1</v>
      </c>
      <c r="F709" s="160">
        <v>1.7483333333333333E-2</v>
      </c>
      <c r="G709" s="54">
        <v>14637432432.432432</v>
      </c>
      <c r="H709" s="54">
        <v>16598534000</v>
      </c>
      <c r="I709" s="65">
        <v>0.87968622100815375</v>
      </c>
      <c r="J709" s="162">
        <v>15.97972972972973</v>
      </c>
    </row>
    <row r="710" spans="1:10" hidden="1">
      <c r="A710" s="64">
        <v>2439</v>
      </c>
      <c r="B710" s="150">
        <v>1.38</v>
      </c>
      <c r="C710" s="159">
        <v>0.85512367491166075</v>
      </c>
      <c r="D710" s="152">
        <v>184782608.69565219</v>
      </c>
      <c r="E710" s="26">
        <f>VLOOKUP(2439,季財報!$A:$H,8,0)</f>
        <v>2</v>
      </c>
      <c r="F710" s="159">
        <v>2.5475000000000001E-2</v>
      </c>
      <c r="G710" s="152">
        <v>10717391304.347826</v>
      </c>
      <c r="H710" s="152">
        <v>12247187000</v>
      </c>
      <c r="I710" s="150">
        <v>0.87971458989516993</v>
      </c>
      <c r="J710" s="152">
        <v>12.287399688585461</v>
      </c>
    </row>
    <row r="711" spans="1:10" hidden="1">
      <c r="A711" s="64">
        <v>8420</v>
      </c>
      <c r="B711" s="52">
        <v>0.62</v>
      </c>
      <c r="C711" s="160">
        <v>0.84848484848484851</v>
      </c>
      <c r="D711" s="157">
        <v>50000000</v>
      </c>
      <c r="E711" s="26">
        <f>VLOOKUP(8420,季財報!$A:$H,8,0)</f>
        <v>2</v>
      </c>
      <c r="F711" s="160">
        <v>2.5708333333333333E-2</v>
      </c>
      <c r="G711" s="54">
        <v>1100000000</v>
      </c>
      <c r="H711" s="54">
        <v>1263930000</v>
      </c>
      <c r="I711" s="65">
        <v>0.87982262775824394</v>
      </c>
      <c r="J711" s="162">
        <v>10.455069124423963</v>
      </c>
    </row>
    <row r="712" spans="1:10" hidden="1">
      <c r="A712" s="64">
        <v>3006</v>
      </c>
      <c r="B712" s="150">
        <v>0.59</v>
      </c>
      <c r="C712" s="159">
        <v>0.27411167512690354</v>
      </c>
      <c r="D712" s="152">
        <v>266101694.91525427</v>
      </c>
      <c r="E712" s="26">
        <f>VLOOKUP(3006,季財報!$A:$H,8,0)</f>
        <v>2</v>
      </c>
      <c r="F712" s="159">
        <v>1.2125000000000009E-2</v>
      </c>
      <c r="G712" s="152">
        <v>8222542372.8813562</v>
      </c>
      <c r="H712" s="152">
        <v>9358590000</v>
      </c>
      <c r="I712" s="150">
        <v>0.88054414647910051</v>
      </c>
      <c r="J712" s="152">
        <v>47.766007532956685</v>
      </c>
    </row>
    <row r="713" spans="1:10" hidden="1">
      <c r="A713" s="64">
        <v>5315</v>
      </c>
      <c r="B713" s="52">
        <v>1.1499999999999999</v>
      </c>
      <c r="C713" s="160">
        <v>0.8571428571428571</v>
      </c>
      <c r="D713" s="157">
        <v>106086956.52173914</v>
      </c>
      <c r="E713" s="26">
        <f>VLOOKUP(5315,季財報!$A:$H,8,0)</f>
        <v>3</v>
      </c>
      <c r="F713" s="160">
        <v>1.7058333333333335E-2</v>
      </c>
      <c r="G713" s="54">
        <v>2291478260.8695655</v>
      </c>
      <c r="H713" s="54">
        <v>2629609000</v>
      </c>
      <c r="I713" s="65">
        <v>0.88157513979516233</v>
      </c>
      <c r="J713" s="162">
        <v>5.4782608695652186</v>
      </c>
    </row>
    <row r="714" spans="1:10" hidden="1">
      <c r="A714" s="64">
        <v>3605</v>
      </c>
      <c r="B714" s="150">
        <v>0.76</v>
      </c>
      <c r="C714" s="159">
        <v>0</v>
      </c>
      <c r="D714" s="152">
        <v>121052631.57894737</v>
      </c>
      <c r="E714" s="26">
        <f>VLOOKUP(3605,季財報!$A:$H,8,0)</f>
        <v>4</v>
      </c>
      <c r="F714" s="159">
        <v>4.0450000000000007E-2</v>
      </c>
      <c r="G714" s="152">
        <v>3347105263.1578946</v>
      </c>
      <c r="H714" s="152">
        <v>3903101000</v>
      </c>
      <c r="I714" s="150">
        <v>0.88230525197837473</v>
      </c>
      <c r="J714" s="152">
        <v>0</v>
      </c>
    </row>
    <row r="715" spans="1:10" hidden="1">
      <c r="A715" s="64">
        <v>2221</v>
      </c>
      <c r="B715" s="150">
        <v>0.37</v>
      </c>
      <c r="C715" s="159">
        <v>1</v>
      </c>
      <c r="D715" s="152">
        <v>43243243.243243247</v>
      </c>
      <c r="E715" s="26">
        <f>VLOOKUP(2221,季財報!$A:$H,8,0)</f>
        <v>1</v>
      </c>
      <c r="F715" s="159">
        <v>6.9974999999999996E-2</v>
      </c>
      <c r="G715" s="152">
        <v>752432432.43243241</v>
      </c>
      <c r="H715" s="152">
        <v>860412000</v>
      </c>
      <c r="I715" s="150">
        <v>0.88289935267684205</v>
      </c>
      <c r="J715" s="152">
        <v>11.756756756756756</v>
      </c>
    </row>
    <row r="716" spans="1:10" hidden="1">
      <c r="A716" s="64">
        <v>5328</v>
      </c>
      <c r="B716" s="52">
        <v>0.27</v>
      </c>
      <c r="C716" s="160">
        <v>0</v>
      </c>
      <c r="D716" s="157">
        <v>181481481.48148146</v>
      </c>
      <c r="E716" s="26">
        <f>VLOOKUP(5328,季財報!$A:$H,8,0)</f>
        <v>3</v>
      </c>
      <c r="F716" s="160">
        <v>3.0416666666666665E-2</v>
      </c>
      <c r="G716" s="54">
        <v>934629629.62962961</v>
      </c>
      <c r="H716" s="54">
        <v>1065146000</v>
      </c>
      <c r="I716" s="65">
        <v>0.88342624449849672</v>
      </c>
      <c r="J716" s="162">
        <v>0</v>
      </c>
    </row>
    <row r="717" spans="1:10" hidden="1">
      <c r="A717" s="64">
        <v>3306</v>
      </c>
      <c r="B717" s="150">
        <v>0.3</v>
      </c>
      <c r="C717" s="159">
        <v>0.1111111111111111</v>
      </c>
      <c r="D717" s="152">
        <v>50000000</v>
      </c>
      <c r="E717" s="26">
        <f>VLOOKUP(3306,季財報!$A:$H,8,0)</f>
        <v>3</v>
      </c>
      <c r="F717" s="159">
        <v>-3.7500000000000207E-4</v>
      </c>
      <c r="G717" s="152">
        <v>1185000000</v>
      </c>
      <c r="H717" s="152">
        <v>1326609000</v>
      </c>
      <c r="I717" s="150">
        <v>0.88426368817802881</v>
      </c>
      <c r="J717" s="152">
        <v>50</v>
      </c>
    </row>
    <row r="718" spans="1:10" hidden="1">
      <c r="A718" s="64">
        <v>9946</v>
      </c>
      <c r="B718" s="52">
        <v>1.52</v>
      </c>
      <c r="C718" s="160">
        <v>0.9886621315192744</v>
      </c>
      <c r="D718" s="157">
        <v>264473684.21052632</v>
      </c>
      <c r="E718" s="26">
        <f>VLOOKUP(9946,季財報!$A:$H,8,0)</f>
        <v>5</v>
      </c>
      <c r="F718" s="160">
        <v>2.6285666666666665</v>
      </c>
      <c r="G718" s="54">
        <v>3557171052.6315789</v>
      </c>
      <c r="H718" s="54">
        <v>4679048000</v>
      </c>
      <c r="I718" s="65">
        <v>0.88460721986606916</v>
      </c>
      <c r="J718" s="162">
        <v>2.2375399867213903</v>
      </c>
    </row>
    <row r="719" spans="1:10" hidden="1">
      <c r="A719" s="64">
        <v>3285</v>
      </c>
      <c r="B719" s="150">
        <v>0.99</v>
      </c>
      <c r="C719" s="159">
        <v>0.57999999999999996</v>
      </c>
      <c r="D719" s="152">
        <v>44444444.444444448</v>
      </c>
      <c r="E719" s="26">
        <f>VLOOKUP(3285,季財報!$A:$H,8,0)</f>
        <v>4</v>
      </c>
      <c r="F719" s="159">
        <v>2.3866666666666665E-2</v>
      </c>
      <c r="G719" s="152">
        <v>1271111111.1111112</v>
      </c>
      <c r="H719" s="152">
        <v>1453542000</v>
      </c>
      <c r="I719" s="150">
        <v>0.8853758660469655</v>
      </c>
      <c r="J719" s="152">
        <v>12.45210727969349</v>
      </c>
    </row>
    <row r="720" spans="1:10" hidden="1">
      <c r="A720" s="64">
        <v>1109</v>
      </c>
      <c r="B720" s="150">
        <v>-0.08</v>
      </c>
      <c r="C720" s="159">
        <v>0.2391304347826087</v>
      </c>
      <c r="D720" s="152">
        <v>400000000</v>
      </c>
      <c r="E720" s="26">
        <f>VLOOKUP(1109,季財報!$A:$H,8,0)</f>
        <v>2</v>
      </c>
      <c r="F720" s="159">
        <v>7.3666666666666698E-3</v>
      </c>
      <c r="G720" s="152">
        <v>4020000000.0000005</v>
      </c>
      <c r="H720" s="152">
        <v>4406057000</v>
      </c>
      <c r="I720" s="150">
        <v>0.88749225376008622</v>
      </c>
      <c r="J720" s="152">
        <v>0</v>
      </c>
    </row>
    <row r="721" spans="1:11" hidden="1">
      <c r="A721" s="64">
        <v>2102</v>
      </c>
      <c r="B721" s="150">
        <v>0.47</v>
      </c>
      <c r="C721" s="159">
        <v>0.88130563798219586</v>
      </c>
      <c r="D721" s="152">
        <v>455319148.93617022</v>
      </c>
      <c r="E721" s="26">
        <f>VLOOKUP(2102,季財報!$A:$H,8,0)</f>
        <v>3</v>
      </c>
      <c r="F721" s="159">
        <v>8.0083333333333343E-3</v>
      </c>
      <c r="G721" s="152">
        <v>6829787234.0425529</v>
      </c>
      <c r="H721" s="152">
        <v>7675448000</v>
      </c>
      <c r="I721" s="150">
        <v>0.88779359313382089</v>
      </c>
      <c r="J721" s="152">
        <v>9.0532989469159695</v>
      </c>
    </row>
    <row r="722" spans="1:11" hidden="1">
      <c r="A722" s="64">
        <v>5519</v>
      </c>
      <c r="B722" s="52">
        <v>0.44</v>
      </c>
      <c r="C722" s="160">
        <v>0.97701149425287359</v>
      </c>
      <c r="D722" s="157">
        <v>181818181.81818181</v>
      </c>
      <c r="E722" s="26">
        <f>VLOOKUP(5519,季財報!$A:$H,8,0)</f>
        <v>2</v>
      </c>
      <c r="F722" s="160">
        <v>5.1841666666666675E-2</v>
      </c>
      <c r="G722" s="54">
        <v>2463636363.6363635</v>
      </c>
      <c r="H722" s="54">
        <v>2499288000</v>
      </c>
      <c r="I722" s="65">
        <v>0.89250351715546539</v>
      </c>
      <c r="J722" s="162">
        <v>7.8800133689839571</v>
      </c>
    </row>
    <row r="723" spans="1:11" hidden="1">
      <c r="A723" s="64">
        <v>2492</v>
      </c>
      <c r="B723" s="150">
        <v>0.62</v>
      </c>
      <c r="C723" s="159">
        <v>0.54024556616643926</v>
      </c>
      <c r="D723" s="152">
        <v>680645161.29032254</v>
      </c>
      <c r="E723" s="26">
        <f>VLOOKUP(2492,季財報!$A:$H,8,0)</f>
        <v>4</v>
      </c>
      <c r="F723" s="159">
        <v>1.833333333333333E-2</v>
      </c>
      <c r="G723" s="152">
        <v>14021290322.580645</v>
      </c>
      <c r="H723" s="152">
        <v>15870658000</v>
      </c>
      <c r="I723" s="150">
        <v>0.89273919150108016</v>
      </c>
      <c r="J723" s="152">
        <v>15.37532583903552</v>
      </c>
    </row>
    <row r="724" spans="1:11" hidden="1">
      <c r="A724" s="64">
        <v>6143</v>
      </c>
      <c r="B724" s="52">
        <v>4.09</v>
      </c>
      <c r="C724" s="160">
        <v>0</v>
      </c>
      <c r="D724" s="157">
        <v>83374083.129584357</v>
      </c>
      <c r="E724" s="26">
        <f>VLOOKUP(6143,季財報!$A:$H,8,0)</f>
        <v>5</v>
      </c>
      <c r="F724" s="160">
        <v>8.0900000000000014E-2</v>
      </c>
      <c r="G724" s="54">
        <v>4693960880.1955986</v>
      </c>
      <c r="H724" s="54">
        <v>5345991000</v>
      </c>
      <c r="I724" s="65">
        <v>0.89460921607557897</v>
      </c>
      <c r="J724" s="162">
        <v>0</v>
      </c>
    </row>
    <row r="725" spans="1:11" hidden="1">
      <c r="A725" s="64">
        <v>1808</v>
      </c>
      <c r="B725" s="150">
        <v>2.85</v>
      </c>
      <c r="C725" s="159">
        <v>1</v>
      </c>
      <c r="D725" s="152">
        <v>214736842.10526314</v>
      </c>
      <c r="E725" s="26">
        <f>VLOOKUP(1808,季財報!$A:$H,8,0)</f>
        <v>6</v>
      </c>
      <c r="F725" s="159">
        <v>27.414783333333332</v>
      </c>
      <c r="G725" s="152">
        <v>5733473684.2105255</v>
      </c>
      <c r="H725" s="152">
        <v>6584396000</v>
      </c>
      <c r="I725" s="150">
        <v>0.89660308616945283</v>
      </c>
      <c r="J725" s="152">
        <v>2.3421052631578947</v>
      </c>
    </row>
    <row r="726" spans="1:11" hidden="1">
      <c r="A726" s="64">
        <v>3564</v>
      </c>
      <c r="B726" s="150">
        <v>1.9</v>
      </c>
      <c r="C726" s="159">
        <v>0.82222222222222219</v>
      </c>
      <c r="D726" s="152">
        <v>20526315.789473686</v>
      </c>
      <c r="E726" s="26">
        <f>VLOOKUP(3564,季財報!$A:$H,8,0)</f>
        <v>3</v>
      </c>
      <c r="F726" s="159">
        <v>2.5466666666666669E-2</v>
      </c>
      <c r="G726" s="152">
        <v>1250052631.5789475</v>
      </c>
      <c r="H726" s="152">
        <v>1383516000</v>
      </c>
      <c r="I726" s="150">
        <v>0.89903837982768497</v>
      </c>
      <c r="J726" s="152">
        <v>9.745732574679943</v>
      </c>
      <c r="K726" s="32"/>
    </row>
    <row r="727" spans="1:11" hidden="1">
      <c r="A727" s="64">
        <v>3339</v>
      </c>
      <c r="B727" s="150">
        <v>-0.82</v>
      </c>
      <c r="C727" s="159">
        <v>1</v>
      </c>
      <c r="D727" s="152">
        <v>275609756.097561</v>
      </c>
      <c r="E727" s="26">
        <f>VLOOKUP(3339,季財報!$A:$H,8,0)</f>
        <v>2</v>
      </c>
      <c r="F727" s="159">
        <v>-3.8824999999999998E-2</v>
      </c>
      <c r="G727" s="152">
        <v>1074878048.7804878</v>
      </c>
      <c r="H727" s="152">
        <v>1132857000</v>
      </c>
      <c r="I727" s="150">
        <v>0.90194081823326067</v>
      </c>
      <c r="J727" s="152">
        <v>0</v>
      </c>
    </row>
    <row r="728" spans="1:11" hidden="1">
      <c r="A728" s="64">
        <v>2354</v>
      </c>
      <c r="B728" s="150">
        <v>2.09</v>
      </c>
      <c r="C728" s="159">
        <v>0.80058550025830899</v>
      </c>
      <c r="D728" s="152">
        <v>1394736842.1052632</v>
      </c>
      <c r="E728" s="26">
        <f>VLOOKUP(2354,季財報!$A:$H,8,0)</f>
        <v>0</v>
      </c>
      <c r="F728" s="159">
        <v>-1.4874999999999998E-2</v>
      </c>
      <c r="G728" s="152">
        <v>100002631578.94737</v>
      </c>
      <c r="H728" s="152">
        <v>105173075000</v>
      </c>
      <c r="I728" s="150">
        <v>0.90194627017419082</v>
      </c>
      <c r="J728" s="152">
        <v>10.712853306931265</v>
      </c>
    </row>
    <row r="729" spans="1:11" hidden="1">
      <c r="A729" s="64">
        <v>3511</v>
      </c>
      <c r="B729" s="150">
        <v>1.01</v>
      </c>
      <c r="C729" s="159">
        <v>0.73170731707317072</v>
      </c>
      <c r="D729" s="152">
        <v>39603960.396039605</v>
      </c>
      <c r="E729" s="26">
        <f>VLOOKUP(3511,季財報!$A:$H,8,0)</f>
        <v>4</v>
      </c>
      <c r="F729" s="159">
        <v>2.035E-2</v>
      </c>
      <c r="G729" s="152">
        <v>1085148514.851485</v>
      </c>
      <c r="H729" s="152">
        <v>1176424000</v>
      </c>
      <c r="I729" s="150">
        <v>0.90260781763619402</v>
      </c>
      <c r="J729" s="152">
        <v>9.2689768976897682</v>
      </c>
    </row>
    <row r="730" spans="1:11" hidden="1">
      <c r="A730" s="64">
        <v>3031</v>
      </c>
      <c r="B730" s="150">
        <v>0.26</v>
      </c>
      <c r="C730" s="159">
        <v>0.69565217391304346</v>
      </c>
      <c r="D730" s="152">
        <v>196153846.15384614</v>
      </c>
      <c r="E730" s="26">
        <f>VLOOKUP(3031,季財報!$A:$H,8,0)</f>
        <v>3</v>
      </c>
      <c r="F730" s="159">
        <v>1.5524999999999997E-2</v>
      </c>
      <c r="G730" s="152">
        <v>1888961538.4615386</v>
      </c>
      <c r="H730" s="152">
        <v>2047145000</v>
      </c>
      <c r="I730" s="150">
        <v>0.90427706314200718</v>
      </c>
      <c r="J730" s="152">
        <v>13.310697115384617</v>
      </c>
    </row>
    <row r="731" spans="1:11" hidden="1">
      <c r="A731" s="64">
        <v>6422</v>
      </c>
      <c r="B731" s="52">
        <v>1.58</v>
      </c>
      <c r="C731" s="160">
        <v>0.9553571428571429</v>
      </c>
      <c r="D731" s="157">
        <v>36708860.759493671</v>
      </c>
      <c r="E731" s="26">
        <f>VLOOKUP(6422,季財報!$A:$H,8,0)</f>
        <v>1</v>
      </c>
      <c r="F731" s="160">
        <v>5.751666666666666E-2</v>
      </c>
      <c r="G731" s="54">
        <v>1872151898.7341774</v>
      </c>
      <c r="H731" s="54">
        <v>2093514000</v>
      </c>
      <c r="I731" s="65">
        <v>0.90565105499989473</v>
      </c>
      <c r="J731" s="162">
        <v>8.4467053117236475</v>
      </c>
    </row>
    <row r="732" spans="1:11" hidden="1">
      <c r="A732" s="64">
        <v>1773</v>
      </c>
      <c r="B732" s="150">
        <v>1.06</v>
      </c>
      <c r="C732" s="159">
        <v>0.7539936102236422</v>
      </c>
      <c r="D732" s="152">
        <v>150943396.2264151</v>
      </c>
      <c r="E732" s="26">
        <f>VLOOKUP(1773,季財報!$A:$H,8,0)</f>
        <v>5</v>
      </c>
      <c r="F732" s="159">
        <v>1.3166666666666691E-3</v>
      </c>
      <c r="G732" s="152">
        <v>6037735849.0566044</v>
      </c>
      <c r="H732" s="152">
        <v>6579391000</v>
      </c>
      <c r="I732" s="150">
        <v>0.90630661929337775</v>
      </c>
      <c r="J732" s="152">
        <v>12.511992324912056</v>
      </c>
    </row>
    <row r="733" spans="1:11" hidden="1">
      <c r="A733" s="64">
        <v>8427</v>
      </c>
      <c r="B733" s="52">
        <v>-0.4</v>
      </c>
      <c r="C733" s="160">
        <v>1</v>
      </c>
      <c r="D733" s="157">
        <v>105000000</v>
      </c>
      <c r="E733" s="26">
        <f>VLOOKUP(8427,季財報!$A:$H,8,0)</f>
        <v>1</v>
      </c>
      <c r="F733" s="160">
        <v>0.33785833333333332</v>
      </c>
      <c r="G733" s="54">
        <v>5523000000</v>
      </c>
      <c r="H733" s="54">
        <v>5795270000</v>
      </c>
      <c r="I733" s="65">
        <v>0.91081214660266074</v>
      </c>
      <c r="J733" s="162">
        <v>0</v>
      </c>
    </row>
    <row r="734" spans="1:11" hidden="1">
      <c r="A734" s="64">
        <v>1815</v>
      </c>
      <c r="B734" s="150">
        <v>0.35</v>
      </c>
      <c r="C734" s="159">
        <v>0.8990825688073395</v>
      </c>
      <c r="D734" s="152">
        <v>411428571.42857146</v>
      </c>
      <c r="E734" s="26">
        <f>VLOOKUP(1815,季財報!$A:$H,8,0)</f>
        <v>3</v>
      </c>
      <c r="F734" s="159">
        <v>9.1666666666666667E-3</v>
      </c>
      <c r="G734" s="152">
        <v>4443428571.4285717</v>
      </c>
      <c r="H734" s="152">
        <v>4902150000</v>
      </c>
      <c r="I734" s="150">
        <v>0.91205362256004985</v>
      </c>
      <c r="J734" s="152">
        <v>8.5801749271137027</v>
      </c>
    </row>
    <row r="735" spans="1:11" hidden="1">
      <c r="A735" s="64">
        <v>3489</v>
      </c>
      <c r="B735" s="150">
        <v>0.2</v>
      </c>
      <c r="C735" s="159">
        <v>1</v>
      </c>
      <c r="D735" s="152">
        <v>80000000</v>
      </c>
      <c r="E735" s="26">
        <f>VLOOKUP(3489,季財報!$A:$H,8,0)</f>
        <v>3</v>
      </c>
      <c r="F735" s="159">
        <v>0.49467500000000003</v>
      </c>
      <c r="G735" s="152">
        <v>754400000</v>
      </c>
      <c r="H735" s="152">
        <v>873329000</v>
      </c>
      <c r="I735" s="150">
        <v>0.91415830546265331</v>
      </c>
      <c r="J735" s="152">
        <v>11.7875</v>
      </c>
    </row>
    <row r="736" spans="1:11" hidden="1">
      <c r="A736" s="64">
        <v>5392</v>
      </c>
      <c r="B736" s="52">
        <v>-0.35</v>
      </c>
      <c r="C736" s="160">
        <v>1</v>
      </c>
      <c r="D736" s="157">
        <v>97142857.142857149</v>
      </c>
      <c r="E736" s="26">
        <f>VLOOKUP(5392,季財報!$A:$H,8,0)</f>
        <v>2</v>
      </c>
      <c r="F736" s="160">
        <v>7.8283333333333358E-2</v>
      </c>
      <c r="G736" s="54">
        <v>5041714285.7142859</v>
      </c>
      <c r="H736" s="54">
        <v>5637029000</v>
      </c>
      <c r="I736" s="65">
        <v>0.92217888828058325</v>
      </c>
      <c r="J736" s="162">
        <v>0</v>
      </c>
    </row>
    <row r="737" spans="1:11" hidden="1">
      <c r="A737" s="64">
        <v>4919</v>
      </c>
      <c r="B737" s="52">
        <v>0.71</v>
      </c>
      <c r="C737" s="160">
        <v>0.76298701298701299</v>
      </c>
      <c r="D737" s="157">
        <v>208450704.22535211</v>
      </c>
      <c r="E737" s="26">
        <f>VLOOKUP(4919,季財報!$A:$H,8,0)</f>
        <v>1</v>
      </c>
      <c r="F737" s="160">
        <v>1.8908333333333336E-2</v>
      </c>
      <c r="G737" s="54">
        <v>6607887323.9436617</v>
      </c>
      <c r="H737" s="54">
        <v>7219766000</v>
      </c>
      <c r="I737" s="65">
        <v>0.92220176130472309</v>
      </c>
      <c r="J737" s="162">
        <v>14.629307761462391</v>
      </c>
    </row>
    <row r="738" spans="1:11" hidden="1">
      <c r="A738" s="64">
        <v>3675</v>
      </c>
      <c r="B738" s="150">
        <v>0.68</v>
      </c>
      <c r="C738" s="159">
        <v>0.83018867924528306</v>
      </c>
      <c r="D738" s="152">
        <v>44117647.058823526</v>
      </c>
      <c r="E738" s="26">
        <f>VLOOKUP(3675,季財報!$A:$H,8,0)</f>
        <v>4</v>
      </c>
      <c r="F738" s="159">
        <v>2.8749999999999969E-3</v>
      </c>
      <c r="G738" s="152">
        <v>992647058.82352936</v>
      </c>
      <c r="H738" s="152">
        <v>1066603000</v>
      </c>
      <c r="I738" s="150">
        <v>0.92500858133886865</v>
      </c>
      <c r="J738" s="152">
        <v>9.9640708556149722</v>
      </c>
    </row>
    <row r="739" spans="1:11" hidden="1">
      <c r="A739" s="64">
        <v>2340</v>
      </c>
      <c r="B739" s="150">
        <v>0.28999999999999998</v>
      </c>
      <c r="C739" s="159">
        <v>0.71241830065359479</v>
      </c>
      <c r="D739" s="152">
        <v>548275862.06896555</v>
      </c>
      <c r="E739" s="26">
        <f>VLOOKUP(2340,季財報!$A:$H,8,0)</f>
        <v>3</v>
      </c>
      <c r="F739" s="159">
        <v>1.4766666666666662E-2</v>
      </c>
      <c r="G739" s="152">
        <v>5208620689.6551723</v>
      </c>
      <c r="H739" s="152">
        <v>5655997000</v>
      </c>
      <c r="I739" s="150">
        <v>0.92598985188686567</v>
      </c>
      <c r="J739" s="152">
        <v>11.495571021828535</v>
      </c>
    </row>
    <row r="740" spans="1:11" hidden="1">
      <c r="A740" s="64">
        <v>5285</v>
      </c>
      <c r="B740" s="52">
        <v>0.94</v>
      </c>
      <c r="C740" s="160">
        <v>0.79807692307692313</v>
      </c>
      <c r="D740" s="157">
        <v>74468085.106382981</v>
      </c>
      <c r="E740" s="26">
        <f>VLOOKUP(5285,季財報!$A:$H,8,0)</f>
        <v>4</v>
      </c>
      <c r="F740" s="160">
        <v>-5.4166666666666599E-3</v>
      </c>
      <c r="G740" s="54">
        <v>2196808510.638298</v>
      </c>
      <c r="H740" s="54">
        <v>2313903000</v>
      </c>
      <c r="I740" s="65">
        <v>0.9289573292065616</v>
      </c>
      <c r="J740" s="162">
        <v>9.83081261215073</v>
      </c>
    </row>
    <row r="741" spans="1:11" hidden="1">
      <c r="A741" s="64">
        <v>3057</v>
      </c>
      <c r="B741" s="150">
        <v>0.12</v>
      </c>
      <c r="C741" s="159">
        <v>0</v>
      </c>
      <c r="D741" s="152">
        <v>166666666.66666669</v>
      </c>
      <c r="E741" s="26">
        <f>VLOOKUP(3057,季財報!$A:$H,8,0)</f>
        <v>2</v>
      </c>
      <c r="F741" s="159">
        <v>1.1166666666666675E-3</v>
      </c>
      <c r="G741" s="152">
        <v>2891666666.6666675</v>
      </c>
      <c r="H741" s="152">
        <v>3008989000</v>
      </c>
      <c r="I741" s="150">
        <v>0.92988695254446574</v>
      </c>
      <c r="J741" s="152">
        <v>0</v>
      </c>
    </row>
    <row r="742" spans="1:11" hidden="1">
      <c r="A742" s="64">
        <v>4721</v>
      </c>
      <c r="B742" s="52">
        <v>0.85</v>
      </c>
      <c r="C742" s="160">
        <v>0.36363636363636365</v>
      </c>
      <c r="D742" s="157">
        <v>75294117.64705883</v>
      </c>
      <c r="E742" s="26">
        <f>VLOOKUP(4721,季財報!$A:$H,8,0)</f>
        <v>3</v>
      </c>
      <c r="F742" s="160">
        <v>4.6458333333333345E-2</v>
      </c>
      <c r="G742" s="54">
        <v>1942588235.2941179</v>
      </c>
      <c r="H742" s="54">
        <v>2092118000</v>
      </c>
      <c r="I742" s="65">
        <v>0.92991521535193622</v>
      </c>
      <c r="J742" s="162">
        <v>20.867647058823529</v>
      </c>
    </row>
    <row r="743" spans="1:11" hidden="1">
      <c r="A743" s="64">
        <v>6175</v>
      </c>
      <c r="B743" s="52">
        <v>0.26</v>
      </c>
      <c r="C743" s="160">
        <v>1</v>
      </c>
      <c r="D743" s="157">
        <v>134615384.61538461</v>
      </c>
      <c r="E743" s="26">
        <f>VLOOKUP(6175,季財報!$A:$H,8,0)</f>
        <v>1</v>
      </c>
      <c r="F743" s="160">
        <v>1.4266666666666665E-2</v>
      </c>
      <c r="G743" s="54">
        <v>1803846153.8461537</v>
      </c>
      <c r="H743" s="54">
        <v>1940573000</v>
      </c>
      <c r="I743" s="65">
        <v>0.93231804362222692</v>
      </c>
      <c r="J743" s="162">
        <v>12.884615384615385</v>
      </c>
    </row>
    <row r="744" spans="1:11" hidden="1">
      <c r="A744" s="64">
        <v>3299</v>
      </c>
      <c r="B744" s="150">
        <v>1.52</v>
      </c>
      <c r="C744" s="159">
        <v>0.67586206896551726</v>
      </c>
      <c r="D744" s="152">
        <v>50657894.736842103</v>
      </c>
      <c r="E744" s="26">
        <f>VLOOKUP(3299,季財報!$A:$H,8,0)</f>
        <v>2</v>
      </c>
      <c r="F744" s="159">
        <v>6.7833333333333313E-3</v>
      </c>
      <c r="G744" s="152">
        <v>2499967105.2631578</v>
      </c>
      <c r="H744" s="152">
        <v>2673838000</v>
      </c>
      <c r="I744" s="150">
        <v>0.93705533057054224</v>
      </c>
      <c r="J744" s="152">
        <v>12.009515977443609</v>
      </c>
    </row>
    <row r="745" spans="1:11" hidden="1">
      <c r="A745" s="64">
        <v>6197</v>
      </c>
      <c r="B745" s="52">
        <v>0.79</v>
      </c>
      <c r="C745" s="160">
        <v>0.2857142857142857</v>
      </c>
      <c r="D745" s="157">
        <v>170886075.94936708</v>
      </c>
      <c r="E745" s="26">
        <f>VLOOKUP(6197,季財報!$A:$H,8,0)</f>
        <v>5</v>
      </c>
      <c r="F745" s="160">
        <v>-4.6000000000000043E-3</v>
      </c>
      <c r="G745" s="54">
        <v>4989873417.7215185</v>
      </c>
      <c r="H745" s="54">
        <v>5238877000</v>
      </c>
      <c r="I745" s="65">
        <v>0.93706015134591136</v>
      </c>
      <c r="J745" s="162">
        <v>32.341772151898738</v>
      </c>
      <c r="K745" s="32"/>
    </row>
    <row r="746" spans="1:11" hidden="1">
      <c r="A746" s="64">
        <v>1568</v>
      </c>
      <c r="B746" s="150">
        <v>0.48</v>
      </c>
      <c r="C746" s="159">
        <v>0.78749999999999998</v>
      </c>
      <c r="D746" s="152">
        <v>104166666.66666667</v>
      </c>
      <c r="E746" s="26">
        <f>VLOOKUP(1568,季財報!$A:$H,8,0)</f>
        <v>3</v>
      </c>
      <c r="F746" s="159">
        <v>1.925E-2</v>
      </c>
      <c r="G746" s="152">
        <v>2213541666.666667</v>
      </c>
      <c r="H746" s="152">
        <v>2363826000</v>
      </c>
      <c r="I746" s="150">
        <v>0.93901807185131214</v>
      </c>
      <c r="J746" s="152">
        <v>14.054232804232804</v>
      </c>
    </row>
    <row r="747" spans="1:11" hidden="1">
      <c r="A747" s="64">
        <v>3576</v>
      </c>
      <c r="B747" s="150">
        <v>-0.42</v>
      </c>
      <c r="C747" s="159">
        <v>0.88475177304964536</v>
      </c>
      <c r="D747" s="152">
        <v>859523809.52380955</v>
      </c>
      <c r="E747" s="26">
        <f>VLOOKUP(3576,季財報!$A:$H,8,0)</f>
        <v>2</v>
      </c>
      <c r="F747" s="159">
        <v>2.0125000000000001E-2</v>
      </c>
      <c r="G747" s="152">
        <v>21230238095.238094</v>
      </c>
      <c r="H747" s="152">
        <v>22452366000</v>
      </c>
      <c r="I747" s="150">
        <v>0.93995978342108821</v>
      </c>
      <c r="J747" s="152">
        <v>0</v>
      </c>
    </row>
    <row r="748" spans="1:11" hidden="1">
      <c r="A748" s="64">
        <v>2355</v>
      </c>
      <c r="B748" s="150">
        <v>1.71</v>
      </c>
      <c r="C748" s="159">
        <v>0.65760322255790538</v>
      </c>
      <c r="D748" s="152">
        <v>397076023.39181286</v>
      </c>
      <c r="E748" s="26">
        <f>VLOOKUP(2355,季財報!$A:$H,8,0)</f>
        <v>3</v>
      </c>
      <c r="F748" s="159">
        <v>1.4808333333333333E-2</v>
      </c>
      <c r="G748" s="152">
        <v>21084736842.105263</v>
      </c>
      <c r="H748" s="152">
        <v>22549259000</v>
      </c>
      <c r="I748" s="150">
        <v>0.94144264578579884</v>
      </c>
      <c r="J748" s="152">
        <v>11.805230918030144</v>
      </c>
    </row>
    <row r="749" spans="1:11" hidden="1">
      <c r="A749" s="64">
        <v>4104</v>
      </c>
      <c r="B749" s="52">
        <v>0.77</v>
      </c>
      <c r="C749" s="160">
        <v>0.48691099476439792</v>
      </c>
      <c r="D749" s="157">
        <v>116883116.88311689</v>
      </c>
      <c r="E749" s="26">
        <f>VLOOKUP(4104,季財報!$A:$H,8,0)</f>
        <v>3</v>
      </c>
      <c r="F749" s="160">
        <v>1.2116666666666664E-2</v>
      </c>
      <c r="G749" s="54">
        <v>5826623376.6233768</v>
      </c>
      <c r="H749" s="54">
        <v>6228019000</v>
      </c>
      <c r="I749" s="65">
        <v>0.94312880936064081</v>
      </c>
      <c r="J749" s="162">
        <v>33.240294651584975</v>
      </c>
    </row>
    <row r="750" spans="1:11" hidden="1">
      <c r="A750" s="64">
        <v>6129</v>
      </c>
      <c r="B750" s="52">
        <v>-0.09</v>
      </c>
      <c r="C750" s="160">
        <v>0.64893617021276595</v>
      </c>
      <c r="D750" s="157">
        <v>177777777.77777779</v>
      </c>
      <c r="E750" s="26">
        <f>VLOOKUP(6129,季財報!$A:$H,8,0)</f>
        <v>1</v>
      </c>
      <c r="F750" s="160">
        <v>-3.8249999999999998E-3</v>
      </c>
      <c r="G750" s="54">
        <v>1223111111.1111112</v>
      </c>
      <c r="H750" s="54">
        <v>1280937000</v>
      </c>
      <c r="I750" s="65">
        <v>0.94350595258145475</v>
      </c>
      <c r="J750" s="162">
        <v>0</v>
      </c>
    </row>
    <row r="751" spans="1:11" hidden="1">
      <c r="A751" s="64">
        <v>8410</v>
      </c>
      <c r="B751" s="52">
        <v>0.61</v>
      </c>
      <c r="C751" s="160">
        <v>1</v>
      </c>
      <c r="D751" s="157">
        <v>36065573.770491801</v>
      </c>
      <c r="E751" s="26">
        <f>VLOOKUP(8410,季財報!$A:$H,8,0)</f>
        <v>3</v>
      </c>
      <c r="F751" s="160">
        <v>3.9191666666666673E-2</v>
      </c>
      <c r="G751" s="54">
        <v>660000000</v>
      </c>
      <c r="H751" s="54">
        <v>698103000</v>
      </c>
      <c r="I751" s="65">
        <v>0.94495223695965913</v>
      </c>
      <c r="J751" s="162">
        <v>7.5000000000000009</v>
      </c>
    </row>
    <row r="752" spans="1:11" hidden="1">
      <c r="A752" s="64">
        <v>8049</v>
      </c>
      <c r="B752" s="52">
        <v>0.4</v>
      </c>
      <c r="C752" s="160">
        <v>0.93975903614457834</v>
      </c>
      <c r="D752" s="157">
        <v>127500000</v>
      </c>
      <c r="E752" s="26">
        <f>VLOOKUP(8049,季財報!$A:$H,8,0)</f>
        <v>5</v>
      </c>
      <c r="F752" s="160">
        <v>4.7366666666666668E-2</v>
      </c>
      <c r="G752" s="54">
        <v>1383375000</v>
      </c>
      <c r="H752" s="54">
        <v>1486672000</v>
      </c>
      <c r="I752" s="65">
        <v>0.94939901421035944</v>
      </c>
      <c r="J752" s="162">
        <v>7.2159455128205119</v>
      </c>
    </row>
    <row r="753" spans="1:11" hidden="1">
      <c r="A753" s="64">
        <v>5011</v>
      </c>
      <c r="B753" s="52">
        <v>0.28000000000000003</v>
      </c>
      <c r="C753" s="160">
        <v>0.63157894736842102</v>
      </c>
      <c r="D753" s="157">
        <v>35714285.714285709</v>
      </c>
      <c r="E753" s="26">
        <f>VLOOKUP(5011,季財報!$A:$H,8,0)</f>
        <v>3</v>
      </c>
      <c r="F753" s="160">
        <v>5.4766666666666665E-2</v>
      </c>
      <c r="G753" s="54">
        <v>891071428.57142842</v>
      </c>
      <c r="H753" s="54">
        <v>957059000</v>
      </c>
      <c r="I753" s="65">
        <v>0.95140476152343723</v>
      </c>
      <c r="J753" s="162">
        <v>35.27157738095238</v>
      </c>
    </row>
    <row r="754" spans="1:11" hidden="1">
      <c r="A754" s="64">
        <v>4535</v>
      </c>
      <c r="B754" s="52">
        <v>1.06</v>
      </c>
      <c r="C754" s="160">
        <v>1</v>
      </c>
      <c r="D754" s="157">
        <v>75471698.113207549</v>
      </c>
      <c r="E754" s="26">
        <f>VLOOKUP(4535,季財報!$A:$H,8,0)</f>
        <v>4</v>
      </c>
      <c r="F754" s="160">
        <v>6.1333333333333335E-3</v>
      </c>
      <c r="G754" s="54">
        <v>3215094339.6226416</v>
      </c>
      <c r="H754" s="54">
        <v>3371362000</v>
      </c>
      <c r="I754" s="65">
        <v>0.95337335692410197</v>
      </c>
      <c r="J754" s="162">
        <v>10.047169811320755</v>
      </c>
    </row>
    <row r="755" spans="1:11" hidden="1">
      <c r="A755" s="64">
        <v>1236</v>
      </c>
      <c r="B755" s="150">
        <v>0.09</v>
      </c>
      <c r="C755" s="159">
        <v>1</v>
      </c>
      <c r="D755" s="152">
        <v>111111111.11111112</v>
      </c>
      <c r="E755" s="26">
        <f>VLOOKUP(1236,季財報!$A:$H,8,0)</f>
        <v>1</v>
      </c>
      <c r="F755" s="159">
        <v>4.6358333333333335E-2</v>
      </c>
      <c r="G755" s="152">
        <v>2233333333.3333335</v>
      </c>
      <c r="H755" s="152">
        <v>2300701000</v>
      </c>
      <c r="I755" s="150">
        <v>0.95970499527882447</v>
      </c>
      <c r="J755" s="152">
        <v>50</v>
      </c>
    </row>
    <row r="756" spans="1:11" hidden="1">
      <c r="A756" s="64">
        <v>4542</v>
      </c>
      <c r="B756" s="52">
        <v>0.36</v>
      </c>
      <c r="C756" s="160">
        <v>0</v>
      </c>
      <c r="D756" s="157">
        <v>27777777.77777778</v>
      </c>
      <c r="E756" s="26">
        <f>VLOOKUP(4542,季財報!$A:$H,8,0)</f>
        <v>4</v>
      </c>
      <c r="F756" s="160">
        <v>0.10851666666666669</v>
      </c>
      <c r="G756" s="54">
        <v>541666666.66666675</v>
      </c>
      <c r="H756" s="54">
        <v>537758000</v>
      </c>
      <c r="I756" s="65">
        <v>0.95998147383444976</v>
      </c>
      <c r="J756" s="162">
        <v>0</v>
      </c>
      <c r="K756" s="32"/>
    </row>
    <row r="757" spans="1:11" hidden="1">
      <c r="A757" s="64">
        <v>1730</v>
      </c>
      <c r="B757" s="150">
        <v>0.81</v>
      </c>
      <c r="C757" s="159">
        <v>0.80555555555555558</v>
      </c>
      <c r="D757" s="152">
        <v>53086419.753086418</v>
      </c>
      <c r="E757" s="26">
        <f>VLOOKUP(1730,季財報!$A:$H,8,0)</f>
        <v>6</v>
      </c>
      <c r="F757" s="159">
        <v>3.0633333333333328E-2</v>
      </c>
      <c r="G757" s="152">
        <v>1871296296.2962961</v>
      </c>
      <c r="H757" s="152">
        <v>1978756000</v>
      </c>
      <c r="I757" s="150">
        <v>0.96017042060519442</v>
      </c>
      <c r="J757" s="152">
        <v>13.505747126436781</v>
      </c>
    </row>
    <row r="758" spans="1:11" hidden="1">
      <c r="A758" s="64">
        <v>3666</v>
      </c>
      <c r="B758" s="150">
        <v>0.28999999999999998</v>
      </c>
      <c r="C758" s="159">
        <v>1</v>
      </c>
      <c r="D758" s="152">
        <v>48275862.068965517</v>
      </c>
      <c r="E758" s="26">
        <f>VLOOKUP(3666,季財報!$A:$H,8,0)</f>
        <v>2</v>
      </c>
      <c r="F758" s="159">
        <v>4.0683333333333328E-2</v>
      </c>
      <c r="G758" s="152">
        <v>1078965517.2413793</v>
      </c>
      <c r="H758" s="152">
        <v>1149544000</v>
      </c>
      <c r="I758" s="150">
        <v>0.96466781575899097</v>
      </c>
      <c r="J758" s="152">
        <v>19.267241379310349</v>
      </c>
    </row>
    <row r="759" spans="1:11" hidden="1">
      <c r="A759" s="64">
        <v>6208</v>
      </c>
      <c r="B759" s="52">
        <v>0.23</v>
      </c>
      <c r="C759" s="160">
        <v>0.625</v>
      </c>
      <c r="D759" s="157">
        <v>113043478.26086956</v>
      </c>
      <c r="E759" s="26">
        <f>VLOOKUP(6208,季財報!$A:$H,8,0)</f>
        <v>3</v>
      </c>
      <c r="F759" s="160">
        <v>3.1891666666666672E-2</v>
      </c>
      <c r="G759" s="54">
        <v>1254782608.695652</v>
      </c>
      <c r="H759" s="54">
        <v>1328072000</v>
      </c>
      <c r="I759" s="65">
        <v>0.96725532386748081</v>
      </c>
      <c r="J759" s="162">
        <v>19.304347826086953</v>
      </c>
    </row>
    <row r="760" spans="1:11" hidden="1">
      <c r="A760" s="64">
        <v>9911</v>
      </c>
      <c r="B760" s="52">
        <v>0.55000000000000004</v>
      </c>
      <c r="C760" s="160">
        <v>0.80382775119617222</v>
      </c>
      <c r="D760" s="157">
        <v>270909090.90909088</v>
      </c>
      <c r="E760" s="26">
        <f>VLOOKUP(9911,季財報!$A:$H,8,0)</f>
        <v>2</v>
      </c>
      <c r="F760" s="160">
        <v>2.0650000000000005E-2</v>
      </c>
      <c r="G760" s="54">
        <v>4876363636.363636</v>
      </c>
      <c r="H760" s="54">
        <v>5085002000</v>
      </c>
      <c r="I760" s="65">
        <v>0.96748582089467428</v>
      </c>
      <c r="J760" s="162">
        <v>10.178571428571427</v>
      </c>
    </row>
    <row r="761" spans="1:11" hidden="1">
      <c r="A761" s="64">
        <v>4154</v>
      </c>
      <c r="B761" s="52">
        <v>-0.5</v>
      </c>
      <c r="C761" s="160">
        <v>0</v>
      </c>
      <c r="D761" s="157">
        <v>20000000</v>
      </c>
      <c r="E761" s="26">
        <f>VLOOKUP(4154,季財報!$A:$H,8,0)</f>
        <v>2</v>
      </c>
      <c r="F761" s="160">
        <v>4.7525000000000005E-2</v>
      </c>
      <c r="G761" s="54">
        <v>475000000</v>
      </c>
      <c r="H761" s="54">
        <v>505470000</v>
      </c>
      <c r="I761" s="65">
        <v>0.97026297190526967</v>
      </c>
      <c r="J761" s="162">
        <v>0</v>
      </c>
    </row>
    <row r="762" spans="1:11" hidden="1">
      <c r="A762" s="64">
        <v>5483</v>
      </c>
      <c r="B762" s="52">
        <v>0.5</v>
      </c>
      <c r="C762" s="160">
        <v>0</v>
      </c>
      <c r="D762" s="157">
        <v>584000000</v>
      </c>
      <c r="E762" s="26">
        <f>VLOOKUP(5483,季財報!$A:$H,8,0)</f>
        <v>3</v>
      </c>
      <c r="F762" s="160">
        <v>4.6666666666666791E-4</v>
      </c>
      <c r="G762" s="54">
        <v>27652400000</v>
      </c>
      <c r="H762" s="54">
        <v>28434953000</v>
      </c>
      <c r="I762" s="65">
        <v>0.97100640415320105</v>
      </c>
      <c r="J762" s="162">
        <v>0</v>
      </c>
    </row>
    <row r="763" spans="1:11" hidden="1">
      <c r="A763" s="64">
        <v>2478</v>
      </c>
      <c r="B763" s="150">
        <v>0.4</v>
      </c>
      <c r="C763" s="159">
        <v>0.59060402684563762</v>
      </c>
      <c r="D763" s="152">
        <v>255000000</v>
      </c>
      <c r="E763" s="26">
        <f>VLOOKUP(2478,季財報!$A:$H,8,0)</f>
        <v>2</v>
      </c>
      <c r="F763" s="159">
        <v>2.1183333333333332E-2</v>
      </c>
      <c r="G763" s="152">
        <v>3812250000</v>
      </c>
      <c r="H763" s="152">
        <v>3942307000</v>
      </c>
      <c r="I763" s="150">
        <v>0.97191373887930299</v>
      </c>
      <c r="J763" s="152">
        <v>15.820667613636362</v>
      </c>
    </row>
    <row r="764" spans="1:11" hidden="1">
      <c r="A764" s="64">
        <v>8921</v>
      </c>
      <c r="B764" s="52">
        <v>0.24</v>
      </c>
      <c r="C764" s="160">
        <v>0.7142857142857143</v>
      </c>
      <c r="D764" s="157">
        <v>45833333.333333336</v>
      </c>
      <c r="E764" s="26">
        <f>VLOOKUP(8921,季財報!$A:$H,8,0)</f>
        <v>3</v>
      </c>
      <c r="F764" s="160">
        <v>-2.1916666666666703E-3</v>
      </c>
      <c r="G764" s="54">
        <v>712708333.33333337</v>
      </c>
      <c r="H764" s="54">
        <v>728099000</v>
      </c>
      <c r="I764" s="65">
        <v>0.97271772726735073</v>
      </c>
      <c r="J764" s="162">
        <v>22.677083333333336</v>
      </c>
    </row>
    <row r="765" spans="1:11" hidden="1">
      <c r="A765" s="64">
        <v>1618</v>
      </c>
      <c r="B765" s="150">
        <v>0.14000000000000001</v>
      </c>
      <c r="C765" s="159">
        <v>1</v>
      </c>
      <c r="D765" s="152">
        <v>242857142.85714284</v>
      </c>
      <c r="E765" s="26">
        <f>VLOOKUP(1618,季財報!$A:$H,8,0)</f>
        <v>3</v>
      </c>
      <c r="F765" s="159">
        <v>0.30441666666666672</v>
      </c>
      <c r="G765" s="152">
        <v>1699999999.9999998</v>
      </c>
      <c r="H765" s="152">
        <v>1909962000</v>
      </c>
      <c r="I765" s="150">
        <v>0.97370202656030014</v>
      </c>
      <c r="J765" s="152">
        <v>12.499999999999998</v>
      </c>
    </row>
    <row r="766" spans="1:11" hidden="1">
      <c r="A766" s="64">
        <v>1736</v>
      </c>
      <c r="B766" s="150">
        <v>0.73</v>
      </c>
      <c r="C766" s="159">
        <v>0</v>
      </c>
      <c r="D766" s="152">
        <v>302739726.02739727</v>
      </c>
      <c r="E766" s="26">
        <f>VLOOKUP(1736,季財報!$A:$H,8,0)</f>
        <v>1</v>
      </c>
      <c r="F766" s="159">
        <v>3.0358333333333338E-2</v>
      </c>
      <c r="G766" s="152">
        <v>16105753424.657536</v>
      </c>
      <c r="H766" s="152">
        <v>16644222000</v>
      </c>
      <c r="I766" s="150">
        <v>0.97485679715825657</v>
      </c>
      <c r="J766" s="152">
        <v>0</v>
      </c>
    </row>
    <row r="767" spans="1:11" hidden="1">
      <c r="A767" s="64">
        <v>6103</v>
      </c>
      <c r="B767" s="52">
        <v>0.05</v>
      </c>
      <c r="C767" s="160">
        <v>1</v>
      </c>
      <c r="D767" s="157">
        <v>60000000</v>
      </c>
      <c r="E767" s="26">
        <f>VLOOKUP(6103,季財報!$A:$H,8,0)</f>
        <v>4</v>
      </c>
      <c r="F767" s="160">
        <v>0.460175</v>
      </c>
      <c r="G767" s="54">
        <v>352200000</v>
      </c>
      <c r="H767" s="54">
        <v>427036000</v>
      </c>
      <c r="I767" s="65">
        <v>0.97520995256857901</v>
      </c>
      <c r="J767" s="162">
        <v>29.349999999999998</v>
      </c>
    </row>
    <row r="768" spans="1:11" hidden="1">
      <c r="A768" s="64">
        <v>2311</v>
      </c>
      <c r="B768" s="150">
        <v>0.83</v>
      </c>
      <c r="C768" s="159">
        <v>0.85838323353293411</v>
      </c>
      <c r="D768" s="152">
        <v>7673493975.903615</v>
      </c>
      <c r="E768" s="26">
        <f>VLOOKUP(2311,季財報!$A:$H,8,0)</f>
        <v>2</v>
      </c>
      <c r="F768" s="159">
        <v>9.5999999999999974E-3</v>
      </c>
      <c r="G768" s="152">
        <v>278931506024.09644</v>
      </c>
      <c r="H768" s="152">
        <v>286645944000</v>
      </c>
      <c r="I768" s="150">
        <v>0.97655066063015916</v>
      </c>
      <c r="J768" s="152">
        <v>12.755136345871803</v>
      </c>
    </row>
    <row r="769" spans="1:10" hidden="1">
      <c r="A769" s="64">
        <v>2482</v>
      </c>
      <c r="B769" s="150">
        <v>0.39</v>
      </c>
      <c r="C769" s="159">
        <v>1</v>
      </c>
      <c r="D769" s="152">
        <v>61538461.538461536</v>
      </c>
      <c r="E769" s="26">
        <f>VLOOKUP(2482,季財報!$A:$H,8,0)</f>
        <v>6</v>
      </c>
      <c r="F769" s="159">
        <v>0.10809999999999999</v>
      </c>
      <c r="G769" s="152">
        <v>840000000</v>
      </c>
      <c r="H769" s="152">
        <v>843017000</v>
      </c>
      <c r="I769" s="150">
        <v>0.97864685761154246</v>
      </c>
      <c r="J769" s="152">
        <v>8.75</v>
      </c>
    </row>
    <row r="770" spans="1:10" hidden="1">
      <c r="A770" s="64">
        <v>6292</v>
      </c>
      <c r="B770" s="52">
        <v>0.44</v>
      </c>
      <c r="C770" s="160">
        <v>1</v>
      </c>
      <c r="D770" s="157">
        <v>47727272.727272727</v>
      </c>
      <c r="E770" s="26">
        <f>VLOOKUP(6292,季財報!$A:$H,8,0)</f>
        <v>2</v>
      </c>
      <c r="F770" s="160">
        <v>4.5725000000000009E-2</v>
      </c>
      <c r="G770" s="54">
        <v>1360227272.7272727</v>
      </c>
      <c r="H770" s="54">
        <v>1407394000</v>
      </c>
      <c r="I770" s="65">
        <v>0.98177117490959664</v>
      </c>
      <c r="J770" s="162">
        <v>16.193181818181817</v>
      </c>
    </row>
    <row r="771" spans="1:10" hidden="1">
      <c r="A771" s="64">
        <v>3492</v>
      </c>
      <c r="B771" s="150">
        <v>1.07</v>
      </c>
      <c r="C771" s="159">
        <v>0.70175438596491224</v>
      </c>
      <c r="D771" s="152">
        <v>35514018.691588782</v>
      </c>
      <c r="E771" s="26">
        <f>VLOOKUP(3492,季財報!$A:$H,8,0)</f>
        <v>4</v>
      </c>
      <c r="F771" s="159">
        <v>7.0416666666666669E-2</v>
      </c>
      <c r="G771" s="152">
        <v>1100934579.4392521</v>
      </c>
      <c r="H771" s="152">
        <v>1130699000</v>
      </c>
      <c r="I771" s="150">
        <v>0.98254568478780047</v>
      </c>
      <c r="J771" s="152">
        <v>10.321261682242991</v>
      </c>
    </row>
    <row r="772" spans="1:10" hidden="1">
      <c r="A772" s="64">
        <v>3383</v>
      </c>
      <c r="B772" s="150">
        <v>-1.26</v>
      </c>
      <c r="C772" s="159">
        <v>0.95726495726495731</v>
      </c>
      <c r="D772" s="152">
        <v>314285714.28571427</v>
      </c>
      <c r="E772" s="26">
        <f>VLOOKUP(3383,季財報!$A:$H,8,0)</f>
        <v>1</v>
      </c>
      <c r="F772" s="159">
        <v>-2.87E-2</v>
      </c>
      <c r="G772" s="152">
        <v>2750000000</v>
      </c>
      <c r="H772" s="152">
        <v>2700544000</v>
      </c>
      <c r="I772" s="150">
        <v>0.982807656321812</v>
      </c>
      <c r="J772" s="152">
        <v>0</v>
      </c>
    </row>
    <row r="773" spans="1:10" hidden="1">
      <c r="A773" s="64">
        <v>6192</v>
      </c>
      <c r="B773" s="52">
        <v>1.1599999999999999</v>
      </c>
      <c r="C773" s="160">
        <v>0.96470588235294119</v>
      </c>
      <c r="D773" s="157">
        <v>118965517.24137932</v>
      </c>
      <c r="E773" s="26">
        <f>VLOOKUP(6192,季財報!$A:$H,8,0)</f>
        <v>3</v>
      </c>
      <c r="F773" s="160">
        <v>1.0166666666666662E-2</v>
      </c>
      <c r="G773" s="54">
        <v>5210689655.1724138</v>
      </c>
      <c r="H773" s="54">
        <v>5232235000</v>
      </c>
      <c r="I773" s="65">
        <v>0.98479806377139334</v>
      </c>
      <c r="J773" s="162">
        <v>9.785008410428933</v>
      </c>
    </row>
    <row r="774" spans="1:10" hidden="1">
      <c r="A774" s="64">
        <v>3078</v>
      </c>
      <c r="B774" s="150">
        <v>0.83</v>
      </c>
      <c r="C774" s="159">
        <v>0.61851851851851847</v>
      </c>
      <c r="D774" s="152">
        <v>227710843.373494</v>
      </c>
      <c r="E774" s="26">
        <f>VLOOKUP(3078,季財報!$A:$H,8,0)</f>
        <v>4</v>
      </c>
      <c r="F774" s="159">
        <v>7.4825000000000016E-2</v>
      </c>
      <c r="G774" s="152">
        <v>5214578313.2530127</v>
      </c>
      <c r="H774" s="152">
        <v>5618075000</v>
      </c>
      <c r="I774" s="150">
        <v>0.98569694092674587</v>
      </c>
      <c r="J774" s="152">
        <v>11.151792799942285</v>
      </c>
    </row>
    <row r="775" spans="1:10" hidden="1">
      <c r="A775" s="64">
        <v>4417</v>
      </c>
      <c r="B775" s="52">
        <v>0.98</v>
      </c>
      <c r="C775" s="160">
        <v>0.97241379310344822</v>
      </c>
      <c r="D775" s="157">
        <v>81632653.06122449</v>
      </c>
      <c r="E775" s="26">
        <f>VLOOKUP(4417,季財報!$A:$H,8,0)</f>
        <v>3</v>
      </c>
      <c r="F775" s="160">
        <v>-1.403333333333333E-2</v>
      </c>
      <c r="G775" s="54">
        <v>2979591836.734694</v>
      </c>
      <c r="H775" s="54">
        <v>2887716000</v>
      </c>
      <c r="I775" s="65">
        <v>0.98676652149100774</v>
      </c>
      <c r="J775" s="162">
        <v>9.5753727022723982</v>
      </c>
    </row>
    <row r="776" spans="1:10" hidden="1">
      <c r="A776" s="64">
        <v>6133</v>
      </c>
      <c r="B776" s="52">
        <v>0.31</v>
      </c>
      <c r="C776" s="160">
        <v>0.22727272727272727</v>
      </c>
      <c r="D776" s="157">
        <v>116129032.25806452</v>
      </c>
      <c r="E776" s="26">
        <f>VLOOKUP(6133,季財報!$A:$H,8,0)</f>
        <v>3</v>
      </c>
      <c r="F776" s="160">
        <v>2.0416666666666656E-2</v>
      </c>
      <c r="G776" s="54">
        <v>1213548387.0967741</v>
      </c>
      <c r="H776" s="54">
        <v>1222026000</v>
      </c>
      <c r="I776" s="65">
        <v>0.98701148506713532</v>
      </c>
      <c r="J776" s="162">
        <v>37.08064516129032</v>
      </c>
    </row>
    <row r="777" spans="1:10" hidden="1">
      <c r="A777" s="64">
        <v>1787</v>
      </c>
      <c r="B777" s="150">
        <v>0.6</v>
      </c>
      <c r="C777" s="159">
        <v>1</v>
      </c>
      <c r="D777" s="152">
        <v>66666666.666666672</v>
      </c>
      <c r="E777" s="26">
        <f>VLOOKUP(1787,季財報!$A:$H,8,0)</f>
        <v>5</v>
      </c>
      <c r="F777" s="159">
        <v>2.4591666666666668E-2</v>
      </c>
      <c r="G777" s="152">
        <v>1423333333.3333335</v>
      </c>
      <c r="H777" s="152">
        <v>1452743000</v>
      </c>
      <c r="I777" s="150">
        <v>0.9870885580254346</v>
      </c>
      <c r="J777" s="152">
        <v>8.8958333333333339</v>
      </c>
    </row>
    <row r="778" spans="1:10" hidden="1">
      <c r="A778" s="64">
        <v>4934</v>
      </c>
      <c r="B778" s="52">
        <v>0.41</v>
      </c>
      <c r="C778" s="160">
        <v>0.21212121212121213</v>
      </c>
      <c r="D778" s="157">
        <v>317073170.73170733</v>
      </c>
      <c r="E778" s="26">
        <f>VLOOKUP(4934,季財報!$A:$H,8,0)</f>
        <v>4</v>
      </c>
      <c r="F778" s="160">
        <v>3.6558333333333325E-2</v>
      </c>
      <c r="G778" s="54">
        <v>7260975609.7560978</v>
      </c>
      <c r="H778" s="54">
        <v>7451993000</v>
      </c>
      <c r="I778" s="65">
        <v>0.99318468793721748</v>
      </c>
      <c r="J778" s="162">
        <v>50</v>
      </c>
    </row>
    <row r="779" spans="1:10" hidden="1">
      <c r="A779" s="64">
        <v>3432</v>
      </c>
      <c r="B779" s="150">
        <v>0.33</v>
      </c>
      <c r="C779" s="159">
        <v>0</v>
      </c>
      <c r="D779" s="152">
        <v>66666666.666666664</v>
      </c>
      <c r="E779" s="26">
        <f>VLOOKUP(3432,季財報!$A:$H,8,0)</f>
        <v>1</v>
      </c>
      <c r="F779" s="159">
        <v>-7.938333333333332E-2</v>
      </c>
      <c r="G779" s="152">
        <v>883333333.33333325</v>
      </c>
      <c r="H779" s="152">
        <v>776832000</v>
      </c>
      <c r="I779" s="150">
        <v>0.99327496624739209</v>
      </c>
      <c r="J779" s="152">
        <v>0</v>
      </c>
    </row>
    <row r="780" spans="1:10" hidden="1">
      <c r="A780" s="64">
        <v>8935</v>
      </c>
      <c r="B780" s="52">
        <v>-0.18</v>
      </c>
      <c r="C780" s="160">
        <v>0.76923076923076927</v>
      </c>
      <c r="D780" s="157">
        <v>122222222.22222222</v>
      </c>
      <c r="E780" s="26">
        <f>VLOOKUP(8935,季財報!$A:$H,8,0)</f>
        <v>2</v>
      </c>
      <c r="F780" s="160">
        <v>7.1583333333333291E-3</v>
      </c>
      <c r="G780" s="54">
        <v>757777777.77777779</v>
      </c>
      <c r="H780" s="54">
        <v>742778000</v>
      </c>
      <c r="I780" s="65">
        <v>0.99945103466629626</v>
      </c>
      <c r="J780" s="162">
        <v>0</v>
      </c>
    </row>
    <row r="781" spans="1:10" hidden="1">
      <c r="A781" s="64">
        <v>8354</v>
      </c>
      <c r="B781" s="52">
        <v>0.89</v>
      </c>
      <c r="C781" s="160">
        <v>0.46478873239436619</v>
      </c>
      <c r="D781" s="157">
        <v>64044943.820224717</v>
      </c>
      <c r="E781" s="26">
        <f>VLOOKUP(8354,季財報!$A:$H,8,0)</f>
        <v>3</v>
      </c>
      <c r="F781" s="160">
        <v>8.58333333333333E-3</v>
      </c>
      <c r="G781" s="54">
        <v>967078651.68539321</v>
      </c>
      <c r="H781" s="54">
        <v>944853000</v>
      </c>
      <c r="I781" s="65">
        <v>1.000097883403855</v>
      </c>
      <c r="J781" s="162">
        <v>9.1258086482805592</v>
      </c>
    </row>
    <row r="782" spans="1:10" ht="16.149999999999999" hidden="1" customHeight="1">
      <c r="A782" s="64">
        <v>3521</v>
      </c>
      <c r="B782" s="150">
        <v>0.36</v>
      </c>
      <c r="C782" s="159">
        <v>1</v>
      </c>
      <c r="D782" s="152">
        <v>47222222.222222224</v>
      </c>
      <c r="E782" s="26">
        <f>VLOOKUP(3521,季財報!$A:$H,8,0)</f>
        <v>3</v>
      </c>
      <c r="F782" s="159">
        <v>0.16800000000000001</v>
      </c>
      <c r="G782" s="152">
        <v>538333333.33333337</v>
      </c>
      <c r="H782" s="152">
        <v>560907000</v>
      </c>
      <c r="I782" s="150">
        <v>1.0001566808918054</v>
      </c>
      <c r="J782" s="152">
        <v>7.916666666666667</v>
      </c>
    </row>
    <row r="783" spans="1:10" ht="16.5" hidden="1" customHeight="1">
      <c r="A783" s="64">
        <v>8928</v>
      </c>
      <c r="B783" s="52">
        <v>0.17</v>
      </c>
      <c r="C783" s="160">
        <v>0.53333333333333333</v>
      </c>
      <c r="D783" s="157">
        <v>52941176.47058823</v>
      </c>
      <c r="E783" s="26">
        <f>VLOOKUP(8928,季財報!$A:$H,8,0)</f>
        <v>3</v>
      </c>
      <c r="F783" s="160">
        <v>0.10457500000000002</v>
      </c>
      <c r="G783" s="54">
        <v>2117647058.8235292</v>
      </c>
      <c r="H783" s="54">
        <v>2071979000</v>
      </c>
      <c r="I783" s="65">
        <v>1.0063671451541758</v>
      </c>
      <c r="J783" s="162">
        <v>50</v>
      </c>
    </row>
    <row r="784" spans="1:10" ht="16.5" hidden="1" customHeight="1">
      <c r="A784" s="64">
        <v>6244</v>
      </c>
      <c r="B784" s="52">
        <v>0.09</v>
      </c>
      <c r="C784" s="160">
        <v>0.96626984126984128</v>
      </c>
      <c r="D784" s="157">
        <v>500000000</v>
      </c>
      <c r="E784" s="26">
        <f>VLOOKUP(6244,季財報!$A:$H,8,0)</f>
        <v>3</v>
      </c>
      <c r="F784" s="160">
        <v>5.0308333333333344E-2</v>
      </c>
      <c r="G784" s="54">
        <v>22575000000</v>
      </c>
      <c r="H784" s="54">
        <v>23320886000</v>
      </c>
      <c r="I784" s="65">
        <v>1.0113899759806642</v>
      </c>
      <c r="J784" s="162">
        <v>50</v>
      </c>
    </row>
    <row r="785" spans="1:10" hidden="1">
      <c r="A785" s="64">
        <v>5522</v>
      </c>
      <c r="B785" s="52">
        <v>1.4</v>
      </c>
      <c r="C785" s="160">
        <v>0.89178294573643413</v>
      </c>
      <c r="D785" s="157">
        <v>838571428.57142866</v>
      </c>
      <c r="E785" s="26">
        <f>VLOOKUP(5522,季財報!$A:$H,8,0)</f>
        <v>1</v>
      </c>
      <c r="F785" s="160">
        <v>1.4950083333333335</v>
      </c>
      <c r="G785" s="54">
        <v>29308071428.571434</v>
      </c>
      <c r="H785" s="54">
        <v>29996930000</v>
      </c>
      <c r="I785" s="65">
        <v>1.0141555263493951</v>
      </c>
      <c r="J785" s="162">
        <v>6.9984198042916752</v>
      </c>
    </row>
    <row r="786" spans="1:10" hidden="1">
      <c r="A786" s="64">
        <v>3122</v>
      </c>
      <c r="B786" s="150">
        <v>0.19</v>
      </c>
      <c r="C786" s="159">
        <v>0.3888888888888889</v>
      </c>
      <c r="D786" s="152">
        <v>36842105.263157897</v>
      </c>
      <c r="E786" s="26">
        <f>VLOOKUP(3122,季財報!$A:$H,8,0)</f>
        <v>1</v>
      </c>
      <c r="F786" s="159">
        <v>3.8599999999999995E-2</v>
      </c>
      <c r="G786" s="152">
        <v>561842105.26315796</v>
      </c>
      <c r="H786" s="152">
        <v>560685000</v>
      </c>
      <c r="I786" s="150">
        <v>1.0141993610971558</v>
      </c>
      <c r="J786" s="152">
        <v>50</v>
      </c>
    </row>
    <row r="787" spans="1:10" hidden="1">
      <c r="A787" s="64">
        <v>5425</v>
      </c>
      <c r="B787" s="52">
        <v>1</v>
      </c>
      <c r="C787" s="160">
        <v>0.72950819672131151</v>
      </c>
      <c r="D787" s="157">
        <v>233000000</v>
      </c>
      <c r="E787" s="26">
        <f>VLOOKUP(5425,季財報!$A:$H,8,0)</f>
        <v>3</v>
      </c>
      <c r="F787" s="160">
        <v>1.3274999999999997E-2</v>
      </c>
      <c r="G787" s="54">
        <v>7735600000.000001</v>
      </c>
      <c r="H787" s="54">
        <v>7679735000</v>
      </c>
      <c r="I787" s="65">
        <v>1.0146041829141581</v>
      </c>
      <c r="J787" s="162">
        <v>11.37752808988764</v>
      </c>
    </row>
    <row r="788" spans="1:10" hidden="1">
      <c r="A788" s="64">
        <v>6405</v>
      </c>
      <c r="B788" s="52">
        <v>0.49</v>
      </c>
      <c r="C788" s="160">
        <v>0.52500000000000002</v>
      </c>
      <c r="D788" s="157">
        <v>65306122.448979594</v>
      </c>
      <c r="E788" s="26">
        <f>VLOOKUP(6405,季財報!$A:$H,8,0)</f>
        <v>2</v>
      </c>
      <c r="F788" s="160">
        <v>-4.7499999999999981E-3</v>
      </c>
      <c r="G788" s="54">
        <v>1358367346.9387755</v>
      </c>
      <c r="H788" s="54">
        <v>1300604000</v>
      </c>
      <c r="I788" s="65">
        <v>1.0169125264556149</v>
      </c>
      <c r="J788" s="162">
        <v>20.213799805636544</v>
      </c>
    </row>
    <row r="789" spans="1:10" hidden="1">
      <c r="A789" s="64">
        <v>2491</v>
      </c>
      <c r="B789" s="150">
        <v>-0.21</v>
      </c>
      <c r="C789" s="159">
        <v>0.66666666666666663</v>
      </c>
      <c r="D789" s="152">
        <v>61904761.90476191</v>
      </c>
      <c r="E789" s="26">
        <f>VLOOKUP(2491,季財報!$A:$H,8,0)</f>
        <v>1</v>
      </c>
      <c r="F789" s="159">
        <v>9.6783333333333346E-2</v>
      </c>
      <c r="G789" s="152">
        <v>438285714.28571433</v>
      </c>
      <c r="H789" s="152">
        <v>412928000</v>
      </c>
      <c r="I789" s="150">
        <v>1.0177046778921572</v>
      </c>
      <c r="J789" s="152">
        <v>0</v>
      </c>
    </row>
    <row r="790" spans="1:10" hidden="1">
      <c r="A790" s="64">
        <v>1337</v>
      </c>
      <c r="B790" s="150">
        <v>0.43</v>
      </c>
      <c r="C790" s="159">
        <v>0.89726027397260277</v>
      </c>
      <c r="D790" s="152">
        <v>260465116.27906978</v>
      </c>
      <c r="E790" s="26">
        <f>VLOOKUP(1337,季財報!$A:$H,8,0)</f>
        <v>3</v>
      </c>
      <c r="F790" s="159">
        <v>7.8174999999999981E-2</v>
      </c>
      <c r="G790" s="152">
        <v>4753488372.0930233</v>
      </c>
      <c r="H790" s="152">
        <v>4845767000</v>
      </c>
      <c r="I790" s="150">
        <v>1.0178634284732704</v>
      </c>
      <c r="J790" s="152">
        <v>11.825403870051483</v>
      </c>
    </row>
    <row r="791" spans="1:10" hidden="1">
      <c r="A791" s="64">
        <v>2035</v>
      </c>
      <c r="B791" s="150">
        <v>-1.0900000000000001</v>
      </c>
      <c r="C791" s="159">
        <v>1</v>
      </c>
      <c r="D791" s="152">
        <v>349541284.40366971</v>
      </c>
      <c r="E791" s="26">
        <f>VLOOKUP(2035,季財報!$A:$H,8,0)</f>
        <v>2</v>
      </c>
      <c r="F791" s="159">
        <v>-2.3250000000000037E-3</v>
      </c>
      <c r="G791" s="152">
        <v>15694403669.72477</v>
      </c>
      <c r="H791" s="152">
        <v>15193491000</v>
      </c>
      <c r="I791" s="150">
        <v>1.0194892349814675</v>
      </c>
      <c r="J791" s="152">
        <v>0</v>
      </c>
    </row>
    <row r="792" spans="1:10" hidden="1">
      <c r="A792" s="64">
        <v>6177</v>
      </c>
      <c r="B792" s="52">
        <v>-0.04</v>
      </c>
      <c r="C792" s="160">
        <v>1</v>
      </c>
      <c r="D792" s="157">
        <v>175000000</v>
      </c>
      <c r="E792" s="26">
        <f>VLOOKUP(6177,季財報!$A:$H,8,0)</f>
        <v>0</v>
      </c>
      <c r="F792" s="160">
        <v>1.3603416666666668</v>
      </c>
      <c r="G792" s="54">
        <v>3473750000.0000005</v>
      </c>
      <c r="H792" s="54">
        <v>3423603000</v>
      </c>
      <c r="I792" s="65">
        <v>1.021474263406418</v>
      </c>
      <c r="J792" s="162">
        <v>0</v>
      </c>
    </row>
    <row r="793" spans="1:10" hidden="1">
      <c r="A793" s="64">
        <v>3325</v>
      </c>
      <c r="B793" s="150">
        <v>0.04</v>
      </c>
      <c r="C793" s="159">
        <v>0</v>
      </c>
      <c r="D793" s="152">
        <v>75000000</v>
      </c>
      <c r="E793" s="26">
        <f>VLOOKUP(3325,季財報!$A:$H,8,0)</f>
        <v>3</v>
      </c>
      <c r="F793" s="159">
        <v>7.3941666666666669E-2</v>
      </c>
      <c r="G793" s="152">
        <v>1323750000</v>
      </c>
      <c r="H793" s="152">
        <v>1353317000</v>
      </c>
      <c r="I793" s="150">
        <v>1.0230120721220612</v>
      </c>
      <c r="J793" s="152">
        <v>0</v>
      </c>
    </row>
    <row r="794" spans="1:10" hidden="1">
      <c r="A794" s="64">
        <v>9960</v>
      </c>
      <c r="B794" s="52">
        <v>-7.0000000000000007E-2</v>
      </c>
      <c r="C794" s="160">
        <v>0</v>
      </c>
      <c r="D794" s="157">
        <v>28571428.571428567</v>
      </c>
      <c r="E794" s="26">
        <f>VLOOKUP(9960,季財報!$A:$H,8,0)</f>
        <v>0</v>
      </c>
      <c r="F794" s="160">
        <v>-1.1666666666667116E-4</v>
      </c>
      <c r="G794" s="54">
        <v>545714285.71428573</v>
      </c>
      <c r="H794" s="54">
        <v>525445000</v>
      </c>
      <c r="I794" s="65">
        <v>1.0238311439785328</v>
      </c>
      <c r="J794" s="162">
        <v>0</v>
      </c>
    </row>
    <row r="795" spans="1:10" hidden="1">
      <c r="A795" s="64">
        <v>1503</v>
      </c>
      <c r="B795" s="150">
        <v>0.59</v>
      </c>
      <c r="C795" s="159">
        <v>0.46057347670250898</v>
      </c>
      <c r="D795" s="152">
        <v>518644067.79661018</v>
      </c>
      <c r="E795" s="26">
        <f>VLOOKUP(1503,季財報!$A:$H,8,0)</f>
        <v>2</v>
      </c>
      <c r="F795" s="159">
        <v>3.5000000000000009E-3</v>
      </c>
      <c r="G795" s="152">
        <v>20538305084.745762</v>
      </c>
      <c r="H795" s="152">
        <v>19842984000</v>
      </c>
      <c r="I795" s="150">
        <v>1.0239821086860623</v>
      </c>
      <c r="J795" s="152">
        <v>36.432104464815673</v>
      </c>
    </row>
    <row r="796" spans="1:10" hidden="1">
      <c r="A796" s="64">
        <v>2912</v>
      </c>
      <c r="B796" s="150">
        <v>2.36</v>
      </c>
      <c r="C796" s="159">
        <v>0.69915712124486706</v>
      </c>
      <c r="D796" s="152">
        <v>1040677966.1016949</v>
      </c>
      <c r="E796" s="26">
        <f>VLOOKUP(2912,季財報!$A:$H,8,0)</f>
        <v>2</v>
      </c>
      <c r="F796" s="159">
        <v>4.8250000000000003E-3</v>
      </c>
      <c r="G796" s="152">
        <v>211257627118.64407</v>
      </c>
      <c r="H796" s="152">
        <v>205077634000</v>
      </c>
      <c r="I796" s="150">
        <v>1.0301733192141409</v>
      </c>
      <c r="J796" s="152">
        <v>30.757374322164882</v>
      </c>
    </row>
    <row r="797" spans="1:10" hidden="1">
      <c r="A797" s="64">
        <v>2062</v>
      </c>
      <c r="B797" s="150">
        <v>1.07</v>
      </c>
      <c r="C797" s="159">
        <v>0.84154929577464788</v>
      </c>
      <c r="D797" s="152">
        <v>162616822.42990655</v>
      </c>
      <c r="E797" s="26">
        <f>VLOOKUP(2062,季財報!$A:$H,8,0)</f>
        <v>3</v>
      </c>
      <c r="F797" s="159">
        <v>2.1791666666666668E-2</v>
      </c>
      <c r="G797" s="152">
        <v>6797383177.5700932</v>
      </c>
      <c r="H797" s="152">
        <v>6679664000</v>
      </c>
      <c r="I797" s="150">
        <v>1.030243712725694</v>
      </c>
      <c r="J797" s="152">
        <v>11.605208618464784</v>
      </c>
    </row>
    <row r="798" spans="1:10" hidden="1">
      <c r="A798" s="64">
        <v>2448</v>
      </c>
      <c r="B798" s="150">
        <v>-0.96</v>
      </c>
      <c r="C798" s="159">
        <v>1</v>
      </c>
      <c r="D798" s="152">
        <v>1079166666.6666667</v>
      </c>
      <c r="E798" s="26">
        <f>VLOOKUP(2448,季財報!$A:$H,8,0)</f>
        <v>1</v>
      </c>
      <c r="F798" s="159">
        <v>1.325E-2</v>
      </c>
      <c r="G798" s="152">
        <v>26115833333.333336</v>
      </c>
      <c r="H798" s="152">
        <v>25381088000</v>
      </c>
      <c r="I798" s="150">
        <v>1.0306518402767282</v>
      </c>
      <c r="J798" s="152">
        <v>0</v>
      </c>
    </row>
    <row r="799" spans="1:10" hidden="1">
      <c r="A799" s="64">
        <v>3167</v>
      </c>
      <c r="B799" s="150">
        <v>1.1499999999999999</v>
      </c>
      <c r="C799" s="159">
        <v>0.65536723163841804</v>
      </c>
      <c r="D799" s="152">
        <v>80000000</v>
      </c>
      <c r="E799" s="26">
        <f>VLOOKUP(3167,季財報!$A:$H,8,0)</f>
        <v>3</v>
      </c>
      <c r="F799" s="159">
        <v>-3.5333333333333328E-3</v>
      </c>
      <c r="G799" s="152">
        <v>2104000000</v>
      </c>
      <c r="H799" s="152">
        <v>1940413000</v>
      </c>
      <c r="I799" s="150">
        <v>1.0332176528968153</v>
      </c>
      <c r="J799" s="152">
        <v>8.7239505247376332</v>
      </c>
    </row>
    <row r="800" spans="1:10" hidden="1">
      <c r="A800" s="64">
        <v>5276</v>
      </c>
      <c r="B800" s="52">
        <v>0.64</v>
      </c>
      <c r="C800" s="160">
        <v>0.82926829268292679</v>
      </c>
      <c r="D800" s="157">
        <v>39062500</v>
      </c>
      <c r="E800" s="26">
        <f>VLOOKUP(5276,季財報!$A:$H,8,0)</f>
        <v>2</v>
      </c>
      <c r="F800" s="160">
        <v>1.7833333333333312E-3</v>
      </c>
      <c r="G800" s="54">
        <v>859375000</v>
      </c>
      <c r="H800" s="54">
        <v>798660000</v>
      </c>
      <c r="I800" s="65">
        <v>1.033764943354192</v>
      </c>
      <c r="J800" s="162">
        <v>10.363051470588236</v>
      </c>
    </row>
    <row r="801" spans="1:10" hidden="1">
      <c r="A801" s="64">
        <v>8131</v>
      </c>
      <c r="B801" s="52">
        <v>0.66</v>
      </c>
      <c r="C801" s="160">
        <v>1</v>
      </c>
      <c r="D801" s="157">
        <v>445454545.45454544</v>
      </c>
      <c r="E801" s="26">
        <f>VLOOKUP(8131,季財報!$A:$H,8,0)</f>
        <v>2</v>
      </c>
      <c r="F801" s="160">
        <v>-5.6500000000000014E-3</v>
      </c>
      <c r="G801" s="54">
        <v>9198636363.6363621</v>
      </c>
      <c r="H801" s="54">
        <v>8829241000</v>
      </c>
      <c r="I801" s="65">
        <v>1.0338727086643467</v>
      </c>
      <c r="J801" s="162">
        <v>7.8219696969696964</v>
      </c>
    </row>
    <row r="802" spans="1:10" hidden="1">
      <c r="A802" s="64">
        <v>3362</v>
      </c>
      <c r="B802" s="150">
        <v>0.03</v>
      </c>
      <c r="C802" s="159">
        <v>1</v>
      </c>
      <c r="D802" s="152">
        <v>100000000</v>
      </c>
      <c r="E802" s="26">
        <f>VLOOKUP(3362,季財報!$A:$H,8,0)</f>
        <v>3</v>
      </c>
      <c r="F802" s="159">
        <v>2.3166666666666661E-3</v>
      </c>
      <c r="G802" s="152">
        <v>1320000000</v>
      </c>
      <c r="H802" s="152">
        <v>1254254000</v>
      </c>
      <c r="I802" s="150">
        <v>1.0341123907816714</v>
      </c>
      <c r="J802" s="152">
        <v>50</v>
      </c>
    </row>
    <row r="803" spans="1:10" hidden="1">
      <c r="A803" s="64">
        <v>3591</v>
      </c>
      <c r="B803" s="150">
        <v>0.01</v>
      </c>
      <c r="C803" s="159">
        <v>1</v>
      </c>
      <c r="D803" s="152">
        <v>200000000</v>
      </c>
      <c r="E803" s="26">
        <f>VLOOKUP(3591,季財報!$A:$H,8,0)</f>
        <v>2</v>
      </c>
      <c r="F803" s="159">
        <v>5.4825000000000006E-2</v>
      </c>
      <c r="G803" s="152">
        <v>3470000000.0000005</v>
      </c>
      <c r="H803" s="152">
        <v>3395142000</v>
      </c>
      <c r="I803" s="150">
        <v>1.0354054970185098</v>
      </c>
      <c r="J803" s="152">
        <v>50</v>
      </c>
    </row>
    <row r="804" spans="1:10" hidden="1">
      <c r="A804" s="64">
        <v>3680</v>
      </c>
      <c r="B804" s="150">
        <v>0.35</v>
      </c>
      <c r="C804" s="159">
        <v>0</v>
      </c>
      <c r="D804" s="152">
        <v>62857142.857142858</v>
      </c>
      <c r="E804" s="26">
        <f>VLOOKUP(3680,季財報!$A:$H,8,0)</f>
        <v>3</v>
      </c>
      <c r="F804" s="159">
        <v>6.3358333333333336E-2</v>
      </c>
      <c r="G804" s="152">
        <v>1973714285.7142856</v>
      </c>
      <c r="H804" s="152">
        <v>1941199000</v>
      </c>
      <c r="I804" s="150">
        <v>1.0395060450255993</v>
      </c>
      <c r="J804" s="152">
        <v>0</v>
      </c>
    </row>
    <row r="805" spans="1:10" hidden="1">
      <c r="A805" s="64">
        <v>6207</v>
      </c>
      <c r="B805" s="52">
        <v>1.27</v>
      </c>
      <c r="C805" s="160">
        <v>0.69753086419753085</v>
      </c>
      <c r="D805" s="157">
        <v>84251968.503937006</v>
      </c>
      <c r="E805" s="26">
        <f>VLOOKUP(6207,季財報!$A:$H,8,0)</f>
        <v>4</v>
      </c>
      <c r="F805" s="160">
        <v>-5.133333333333337E-3</v>
      </c>
      <c r="G805" s="54">
        <v>2262165354.3307085</v>
      </c>
      <c r="H805" s="54">
        <v>2116467000</v>
      </c>
      <c r="I805" s="65">
        <v>1.0403496249729622</v>
      </c>
      <c r="J805" s="162">
        <v>7.5773465263744688</v>
      </c>
    </row>
    <row r="806" spans="1:10" hidden="1">
      <c r="A806" s="64">
        <v>3163</v>
      </c>
      <c r="B806" s="150">
        <v>-0.25</v>
      </c>
      <c r="C806" s="159">
        <v>1</v>
      </c>
      <c r="D806" s="152">
        <v>72000000</v>
      </c>
      <c r="E806" s="26">
        <f>VLOOKUP(3163,季財報!$A:$H,8,0)</f>
        <v>1</v>
      </c>
      <c r="F806" s="159">
        <v>4.2674999999999998E-2</v>
      </c>
      <c r="G806" s="152">
        <v>2404800000</v>
      </c>
      <c r="H806" s="152">
        <v>2374234000</v>
      </c>
      <c r="I806" s="150">
        <v>1.0416833616986438</v>
      </c>
      <c r="J806" s="152">
        <v>0</v>
      </c>
    </row>
    <row r="807" spans="1:10" hidden="1">
      <c r="A807" s="64">
        <v>1319</v>
      </c>
      <c r="B807" s="150">
        <v>0.82</v>
      </c>
      <c r="C807" s="159">
        <v>0.8876221498371335</v>
      </c>
      <c r="D807" s="152">
        <v>591463414.63414633</v>
      </c>
      <c r="E807" s="26">
        <f>VLOOKUP(1319,季財報!$A:$H,8,0)</f>
        <v>3</v>
      </c>
      <c r="F807" s="159">
        <v>1.2641666666666667E-2</v>
      </c>
      <c r="G807" s="152">
        <v>22978353658.536587</v>
      </c>
      <c r="H807" s="152">
        <v>22188064000</v>
      </c>
      <c r="I807" s="150">
        <v>1.0440415672148817</v>
      </c>
      <c r="J807" s="152">
        <v>13.344092638174089</v>
      </c>
    </row>
    <row r="808" spans="1:10" hidden="1">
      <c r="A808" s="64">
        <v>1440</v>
      </c>
      <c r="B808" s="150">
        <v>0.23</v>
      </c>
      <c r="C808" s="159">
        <v>0.45149253731343286</v>
      </c>
      <c r="D808" s="152">
        <v>1643478260.8695652</v>
      </c>
      <c r="E808" s="26">
        <f>VLOOKUP(1440,季財報!$A:$H,8,0)</f>
        <v>1</v>
      </c>
      <c r="F808" s="159">
        <v>7.491666666666663E-3</v>
      </c>
      <c r="G808" s="152">
        <v>22844347826.086956</v>
      </c>
      <c r="H808" s="152">
        <v>21763705000</v>
      </c>
      <c r="I808" s="150">
        <v>1.0440604643707203</v>
      </c>
      <c r="J808" s="152">
        <v>33.463887890765356</v>
      </c>
    </row>
    <row r="809" spans="1:10" hidden="1">
      <c r="A809" s="64">
        <v>8463</v>
      </c>
      <c r="B809" s="52">
        <v>0.26</v>
      </c>
      <c r="C809" s="160">
        <v>0.96969696969696972</v>
      </c>
      <c r="D809" s="157">
        <v>150000000</v>
      </c>
      <c r="E809" s="26">
        <f>VLOOKUP(8463,季財報!$A:$H,8,0)</f>
        <v>1</v>
      </c>
      <c r="F809" s="160">
        <v>-2.1833333333333327E-3</v>
      </c>
      <c r="G809" s="54">
        <v>3690000000</v>
      </c>
      <c r="H809" s="54">
        <v>3448978000</v>
      </c>
      <c r="I809" s="65">
        <v>1.0445510949669621</v>
      </c>
      <c r="J809" s="162">
        <v>24.393028846153847</v>
      </c>
    </row>
    <row r="810" spans="1:10" hidden="1">
      <c r="A810" s="64">
        <v>4972</v>
      </c>
      <c r="B810" s="52">
        <v>1.37</v>
      </c>
      <c r="C810" s="160">
        <v>0.71111111111111114</v>
      </c>
      <c r="D810" s="157">
        <v>37956204.379562043</v>
      </c>
      <c r="E810" s="26">
        <f>VLOOKUP(4972,季財報!$A:$H,8,0)</f>
        <v>3</v>
      </c>
      <c r="F810" s="160">
        <v>3.2758333333333327E-2</v>
      </c>
      <c r="G810" s="54">
        <v>1355036496.3503649</v>
      </c>
      <c r="H810" s="54">
        <v>1293538000</v>
      </c>
      <c r="I810" s="65">
        <v>1.0445630963488028</v>
      </c>
      <c r="J810" s="162">
        <v>9.1611541970802914</v>
      </c>
    </row>
    <row r="811" spans="1:10" hidden="1">
      <c r="A811" s="64">
        <v>2471</v>
      </c>
      <c r="B811" s="150">
        <v>0.2</v>
      </c>
      <c r="C811" s="159">
        <v>0.10526315789473684</v>
      </c>
      <c r="D811" s="152">
        <v>50000000</v>
      </c>
      <c r="E811" s="26">
        <f>VLOOKUP(2471,季財報!$A:$H,8,0)</f>
        <v>3</v>
      </c>
      <c r="F811" s="159">
        <v>4.936666666666667E-2</v>
      </c>
      <c r="G811" s="152">
        <v>647500000</v>
      </c>
      <c r="H811" s="152">
        <v>608732000</v>
      </c>
      <c r="I811" s="150">
        <v>1.0474380232134912</v>
      </c>
      <c r="J811" s="152">
        <v>50</v>
      </c>
    </row>
    <row r="812" spans="1:10" hidden="1">
      <c r="A812" s="64">
        <v>6509</v>
      </c>
      <c r="B812" s="52">
        <v>0.28999999999999998</v>
      </c>
      <c r="C812" s="160">
        <v>1</v>
      </c>
      <c r="D812" s="157">
        <v>168965517.24137932</v>
      </c>
      <c r="E812" s="26">
        <f>VLOOKUP(6509,季財報!$A:$H,8,0)</f>
        <v>3</v>
      </c>
      <c r="F812" s="160">
        <v>4.1500000000000018E-3</v>
      </c>
      <c r="G812" s="54">
        <v>3277931034.4827585</v>
      </c>
      <c r="H812" s="54">
        <v>3108236000</v>
      </c>
      <c r="I812" s="65">
        <v>1.0478176881876875</v>
      </c>
      <c r="J812" s="162">
        <v>16.724137931034484</v>
      </c>
    </row>
    <row r="813" spans="1:10" hidden="1">
      <c r="A813" s="64">
        <v>1504</v>
      </c>
      <c r="B813" s="150">
        <v>0.48</v>
      </c>
      <c r="C813" s="159">
        <v>0.57677902621722843</v>
      </c>
      <c r="D813" s="152">
        <v>1991666666.6666667</v>
      </c>
      <c r="E813" s="26">
        <f>VLOOKUP(1504,季財報!$A:$H,8,0)</f>
        <v>2</v>
      </c>
      <c r="F813" s="159">
        <v>2.3000000000000013E-3</v>
      </c>
      <c r="G813" s="152">
        <v>51086250000</v>
      </c>
      <c r="H813" s="152">
        <v>48605532000</v>
      </c>
      <c r="I813" s="150">
        <v>1.0479765398493253</v>
      </c>
      <c r="J813" s="152">
        <v>23.162033279220779</v>
      </c>
    </row>
    <row r="814" spans="1:10" hidden="1">
      <c r="A814" s="64">
        <v>6182</v>
      </c>
      <c r="B814" s="52">
        <v>0.05</v>
      </c>
      <c r="C814" s="160">
        <v>1</v>
      </c>
      <c r="D814" s="157">
        <v>400000000</v>
      </c>
      <c r="E814" s="26">
        <f>VLOOKUP(6182,季財報!$A:$H,8,0)</f>
        <v>3</v>
      </c>
      <c r="F814" s="160">
        <v>1.8891666666666671E-2</v>
      </c>
      <c r="G814" s="54">
        <v>5440000000</v>
      </c>
      <c r="H814" s="54">
        <v>5233975000</v>
      </c>
      <c r="I814" s="65">
        <v>1.0486949146007634</v>
      </c>
      <c r="J814" s="162">
        <v>50</v>
      </c>
    </row>
    <row r="815" spans="1:10" hidden="1">
      <c r="A815" s="64">
        <v>1101</v>
      </c>
      <c r="B815" s="150">
        <v>0.26</v>
      </c>
      <c r="C815" s="159">
        <v>1</v>
      </c>
      <c r="D815" s="152">
        <v>3650000000</v>
      </c>
      <c r="E815" s="26">
        <f>VLOOKUP(1101,季財報!$A:$H,8,0)</f>
        <v>1</v>
      </c>
      <c r="F815" s="159">
        <v>1.4008333333333336E-2</v>
      </c>
      <c r="G815" s="152">
        <v>101287500000</v>
      </c>
      <c r="H815" s="152">
        <v>95116513000</v>
      </c>
      <c r="I815" s="150">
        <v>1.0505783992243969</v>
      </c>
      <c r="J815" s="152">
        <v>26.682692307692307</v>
      </c>
    </row>
    <row r="816" spans="1:10" hidden="1">
      <c r="A816" s="64">
        <v>4745</v>
      </c>
      <c r="B816" s="52">
        <v>0.48</v>
      </c>
      <c r="C816" s="160">
        <v>1</v>
      </c>
      <c r="D816" s="157">
        <v>58333333.333333336</v>
      </c>
      <c r="E816" s="26">
        <f>VLOOKUP(4745,季財報!$A:$H,8,0)</f>
        <v>0</v>
      </c>
      <c r="F816" s="160">
        <v>3.0674999999999997E-2</v>
      </c>
      <c r="G816" s="54">
        <v>3412500000</v>
      </c>
      <c r="H816" s="54">
        <v>3247559000</v>
      </c>
      <c r="I816" s="65">
        <v>1.052548462724054</v>
      </c>
      <c r="J816" s="162">
        <v>30.46875</v>
      </c>
    </row>
    <row r="817" spans="1:10" hidden="1">
      <c r="A817" s="64">
        <v>4120</v>
      </c>
      <c r="B817" s="52">
        <v>0.47</v>
      </c>
      <c r="C817" s="160">
        <v>1</v>
      </c>
      <c r="D817" s="157">
        <v>87234042.553191498</v>
      </c>
      <c r="E817" s="26">
        <f>VLOOKUP(4120,季財報!$A:$H,8,0)</f>
        <v>4</v>
      </c>
      <c r="F817" s="160">
        <v>7.6166666666666639E-3</v>
      </c>
      <c r="G817" s="54">
        <v>5242765957.4468088</v>
      </c>
      <c r="H817" s="54">
        <v>4978748000</v>
      </c>
      <c r="I817" s="65">
        <v>1.0566967305127313</v>
      </c>
      <c r="J817" s="162">
        <v>31.968085106382983</v>
      </c>
    </row>
    <row r="818" spans="1:10" hidden="1">
      <c r="A818" s="64">
        <v>1701</v>
      </c>
      <c r="B818" s="150">
        <v>0.4</v>
      </c>
      <c r="C818" s="159">
        <v>0.3256880733944954</v>
      </c>
      <c r="D818" s="152">
        <v>297500000</v>
      </c>
      <c r="E818" s="26">
        <f>VLOOKUP(1701,季財報!$A:$H,8,0)</f>
        <v>3</v>
      </c>
      <c r="F818" s="159">
        <v>7.391666666666667E-3</v>
      </c>
      <c r="G818" s="152">
        <v>5860750000</v>
      </c>
      <c r="H818" s="152">
        <v>5556875000</v>
      </c>
      <c r="I818" s="150">
        <v>1.0571044743706615</v>
      </c>
      <c r="J818" s="152">
        <v>37.804577464788728</v>
      </c>
    </row>
    <row r="819" spans="1:10" hidden="1">
      <c r="A819" s="64">
        <v>3023</v>
      </c>
      <c r="B819" s="150">
        <v>1.38</v>
      </c>
      <c r="C819" s="159">
        <v>0.69398907103825136</v>
      </c>
      <c r="D819" s="152">
        <v>214492753.62318844</v>
      </c>
      <c r="E819" s="26">
        <f>VLOOKUP(3023,季財報!$A:$H,8,0)</f>
        <v>3</v>
      </c>
      <c r="F819" s="159">
        <v>1.7750000000000008E-3</v>
      </c>
      <c r="G819" s="152">
        <v>13019710144.927538</v>
      </c>
      <c r="H819" s="152">
        <v>12297046000</v>
      </c>
      <c r="I819" s="150">
        <v>1.0580360435013272</v>
      </c>
      <c r="J819" s="152">
        <v>15.845172885997949</v>
      </c>
    </row>
    <row r="820" spans="1:10" hidden="1">
      <c r="A820" s="64">
        <v>5905</v>
      </c>
      <c r="B820" s="52">
        <v>0.22</v>
      </c>
      <c r="C820" s="160">
        <v>1</v>
      </c>
      <c r="D820" s="157">
        <v>204545454.54545453</v>
      </c>
      <c r="E820" s="26">
        <f>VLOOKUP(5905,季財報!$A:$H,8,0)</f>
        <v>2</v>
      </c>
      <c r="F820" s="160">
        <v>3.3516666666666674E-2</v>
      </c>
      <c r="G820" s="54">
        <v>1667045454.5454545</v>
      </c>
      <c r="H820" s="54">
        <v>1569695000</v>
      </c>
      <c r="I820" s="65">
        <v>1.0606159895719252</v>
      </c>
      <c r="J820" s="162">
        <v>9.2613636363636367</v>
      </c>
    </row>
    <row r="821" spans="1:10" hidden="1">
      <c r="A821" s="64">
        <v>3067</v>
      </c>
      <c r="B821" s="150">
        <v>-0.39</v>
      </c>
      <c r="C821" s="159">
        <v>1</v>
      </c>
      <c r="D821" s="152">
        <v>28205128.205128204</v>
      </c>
      <c r="E821" s="26">
        <f>VLOOKUP(3067,季財報!$A:$H,8,0)</f>
        <v>0</v>
      </c>
      <c r="F821" s="159">
        <v>1.258333333333329E-3</v>
      </c>
      <c r="G821" s="152">
        <v>359615384.61538458</v>
      </c>
      <c r="H821" s="152">
        <v>319259000</v>
      </c>
      <c r="I821" s="150">
        <v>1.0616265708666959</v>
      </c>
      <c r="J821" s="152">
        <v>0</v>
      </c>
    </row>
    <row r="822" spans="1:10" hidden="1">
      <c r="A822" s="64">
        <v>3664</v>
      </c>
      <c r="B822" s="150">
        <v>-0.55000000000000004</v>
      </c>
      <c r="C822" s="159">
        <v>0.99319727891156462</v>
      </c>
      <c r="D822" s="152">
        <v>78181818.181818172</v>
      </c>
      <c r="E822" s="26">
        <f>VLOOKUP(3664,季財報!$A:$H,8,0)</f>
        <v>2</v>
      </c>
      <c r="F822" s="159">
        <v>0.46236666666666676</v>
      </c>
      <c r="G822" s="152">
        <v>1145363636.3636363</v>
      </c>
      <c r="H822" s="152">
        <v>1062253000</v>
      </c>
      <c r="I822" s="150">
        <v>1.0645909888570724</v>
      </c>
      <c r="J822" s="152">
        <v>0</v>
      </c>
    </row>
    <row r="823" spans="1:10" hidden="1">
      <c r="A823" s="64">
        <v>2108</v>
      </c>
      <c r="B823" s="150">
        <v>0.82</v>
      </c>
      <c r="C823" s="159">
        <v>0.86102719033232633</v>
      </c>
      <c r="D823" s="152">
        <v>424390243.90243906</v>
      </c>
      <c r="E823" s="26">
        <f>VLOOKUP(2108,季財報!$A:$H,8,0)</f>
        <v>3</v>
      </c>
      <c r="F823" s="159">
        <v>-1.291666666666666E-3</v>
      </c>
      <c r="G823" s="152">
        <v>10291463414.634148</v>
      </c>
      <c r="H823" s="152">
        <v>9599706000</v>
      </c>
      <c r="I823" s="150">
        <v>1.0660137887386685</v>
      </c>
      <c r="J823" s="152">
        <v>8.5865960633290541</v>
      </c>
    </row>
    <row r="824" spans="1:10" hidden="1">
      <c r="A824" s="64">
        <v>8021</v>
      </c>
      <c r="B824" s="52">
        <v>0.68</v>
      </c>
      <c r="C824" s="160">
        <v>1</v>
      </c>
      <c r="D824" s="157">
        <v>160294117.64705881</v>
      </c>
      <c r="E824" s="26">
        <f>VLOOKUP(8021,季財報!$A:$H,8,0)</f>
        <v>4</v>
      </c>
      <c r="F824" s="160">
        <v>4.924999999999998E-3</v>
      </c>
      <c r="G824" s="54">
        <v>3726838235.2941175</v>
      </c>
      <c r="H824" s="54">
        <v>3499219000</v>
      </c>
      <c r="I824" s="65">
        <v>1.0681110824398921</v>
      </c>
      <c r="J824" s="162">
        <v>8.547794117647058</v>
      </c>
    </row>
    <row r="825" spans="1:10" hidden="1">
      <c r="A825" s="64">
        <v>9905</v>
      </c>
      <c r="B825" s="52">
        <v>0.81</v>
      </c>
      <c r="C825" s="160">
        <v>0.88801571709233795</v>
      </c>
      <c r="D825" s="157">
        <v>307407407.4074074</v>
      </c>
      <c r="E825" s="26">
        <f>VLOOKUP(9905,季財報!$A:$H,8,0)</f>
        <v>0</v>
      </c>
      <c r="F825" s="160">
        <v>1.1441666666666668E-2</v>
      </c>
      <c r="G825" s="54">
        <v>8576666666.666666</v>
      </c>
      <c r="H825" s="54">
        <v>7975896000</v>
      </c>
      <c r="I825" s="65">
        <v>1.0696070592901941</v>
      </c>
      <c r="J825" s="162">
        <v>9.6970255653883957</v>
      </c>
    </row>
    <row r="826" spans="1:10" hidden="1">
      <c r="A826" s="64">
        <v>9924</v>
      </c>
      <c r="B826" s="52">
        <v>1.44</v>
      </c>
      <c r="C826" s="160">
        <v>0.63982102908277405</v>
      </c>
      <c r="D826" s="157">
        <v>188194444.44444445</v>
      </c>
      <c r="E826" s="26">
        <f>VLOOKUP(9924,季財報!$A:$H,8,0)</f>
        <v>4</v>
      </c>
      <c r="F826" s="160">
        <v>1.4124999999999999E-2</v>
      </c>
      <c r="G826" s="54">
        <v>8468750000</v>
      </c>
      <c r="H826" s="54">
        <v>7910394000</v>
      </c>
      <c r="I826" s="65">
        <v>1.0711092600375665</v>
      </c>
      <c r="J826" s="162">
        <v>12.210445804195803</v>
      </c>
    </row>
    <row r="827" spans="1:10" hidden="1">
      <c r="A827" s="64">
        <v>3594</v>
      </c>
      <c r="B827" s="150">
        <v>0.15</v>
      </c>
      <c r="C827" s="159">
        <v>0</v>
      </c>
      <c r="D827" s="152">
        <v>53333333.333333336</v>
      </c>
      <c r="E827" s="26">
        <f>VLOOKUP(3594,季財報!$A:$H,8,0)</f>
        <v>0</v>
      </c>
      <c r="F827" s="159">
        <v>0.14860833333333334</v>
      </c>
      <c r="G827" s="152">
        <v>1464000000</v>
      </c>
      <c r="H827" s="152">
        <v>1378236000</v>
      </c>
      <c r="I827" s="150">
        <v>1.0727467372451951</v>
      </c>
      <c r="J827" s="152">
        <v>0</v>
      </c>
    </row>
    <row r="828" spans="1:10" hidden="1">
      <c r="A828" s="64">
        <v>3479</v>
      </c>
      <c r="B828" s="150">
        <v>1.57</v>
      </c>
      <c r="C828" s="159">
        <v>0.8783783783783784</v>
      </c>
      <c r="D828" s="152">
        <v>68152866.24203822</v>
      </c>
      <c r="E828" s="26">
        <f>VLOOKUP(3479,季財報!$A:$H,8,0)</f>
        <v>6</v>
      </c>
      <c r="F828" s="159">
        <v>5.0575000000000002E-2</v>
      </c>
      <c r="G828" s="152">
        <v>4566242038.2165604</v>
      </c>
      <c r="H828" s="152">
        <v>4380806000</v>
      </c>
      <c r="I828" s="150">
        <v>1.0730154761745057</v>
      </c>
      <c r="J828" s="152">
        <v>12.146006859382656</v>
      </c>
    </row>
    <row r="829" spans="1:10" hidden="1">
      <c r="A829" s="64">
        <v>2484</v>
      </c>
      <c r="B829" s="150">
        <v>0.66</v>
      </c>
      <c r="C829" s="159">
        <v>0.50617283950617287</v>
      </c>
      <c r="D829" s="152">
        <v>157575757.57575756</v>
      </c>
      <c r="E829" s="26">
        <f>VLOOKUP(2484,季財報!$A:$H,8,0)</f>
        <v>4</v>
      </c>
      <c r="F829" s="159">
        <v>5.7666666666666665E-3</v>
      </c>
      <c r="G829" s="152">
        <v>3033333333.333333</v>
      </c>
      <c r="H829" s="152">
        <v>2811119000</v>
      </c>
      <c r="I829" s="150">
        <v>1.0734947539137141</v>
      </c>
      <c r="J829" s="152">
        <v>14.405487804878046</v>
      </c>
    </row>
    <row r="830" spans="1:10" hidden="1">
      <c r="A830" s="64">
        <v>1541</v>
      </c>
      <c r="B830" s="150">
        <v>1.91</v>
      </c>
      <c r="C830" s="159">
        <v>0.64210526315789473</v>
      </c>
      <c r="D830" s="152">
        <v>78534031.413612574</v>
      </c>
      <c r="E830" s="26">
        <f>VLOOKUP(1541,季財報!$A:$H,8,0)</f>
        <v>4</v>
      </c>
      <c r="F830" s="159">
        <v>3.2458333333333332E-2</v>
      </c>
      <c r="G830" s="152">
        <v>3137434554.9738226</v>
      </c>
      <c r="H830" s="152">
        <v>2898881000</v>
      </c>
      <c r="I830" s="150">
        <v>1.0744046492552373</v>
      </c>
      <c r="J830" s="152">
        <v>8.1436142820358786</v>
      </c>
    </row>
    <row r="831" spans="1:10" hidden="1">
      <c r="A831" s="64">
        <v>3068</v>
      </c>
      <c r="B831" s="150">
        <v>0.71</v>
      </c>
      <c r="C831" s="159">
        <v>0.7142857142857143</v>
      </c>
      <c r="D831" s="152">
        <v>84507042.253521129</v>
      </c>
      <c r="E831" s="26">
        <f>VLOOKUP(3068,季財報!$A:$H,8,0)</f>
        <v>5</v>
      </c>
      <c r="F831" s="159">
        <v>1.3566666666666666E-2</v>
      </c>
      <c r="G831" s="152">
        <v>2881690140.8450708</v>
      </c>
      <c r="H831" s="152">
        <v>2689725000</v>
      </c>
      <c r="I831" s="150">
        <v>1.0747778755619026</v>
      </c>
      <c r="J831" s="152">
        <v>16.80985915492958</v>
      </c>
    </row>
    <row r="832" spans="1:10" hidden="1">
      <c r="A832" s="64">
        <v>3570</v>
      </c>
      <c r="B832" s="150">
        <v>1.1100000000000001</v>
      </c>
      <c r="C832" s="159">
        <v>1</v>
      </c>
      <c r="D832" s="152">
        <v>17117117.117117114</v>
      </c>
      <c r="E832" s="26">
        <f>VLOOKUP(3570,季財報!$A:$H,8,0)</f>
        <v>2</v>
      </c>
      <c r="F832" s="159">
        <v>3.3400000000000006E-2</v>
      </c>
      <c r="G832" s="152">
        <v>1066396396.3963962</v>
      </c>
      <c r="H832" s="152">
        <v>976655000</v>
      </c>
      <c r="I832" s="150">
        <v>1.0752380791210081</v>
      </c>
      <c r="J832" s="152">
        <v>14.031531531531529</v>
      </c>
    </row>
    <row r="833" spans="1:10" hidden="1">
      <c r="A833" s="64">
        <v>3354</v>
      </c>
      <c r="B833" s="150">
        <v>0.34</v>
      </c>
      <c r="C833" s="159">
        <v>0</v>
      </c>
      <c r="D833" s="152">
        <v>82352941.176470578</v>
      </c>
      <c r="E833" s="26">
        <f>VLOOKUP(3354,季財報!$A:$H,8,0)</f>
        <v>5</v>
      </c>
      <c r="F833" s="159">
        <v>5.8666666666666624E-3</v>
      </c>
      <c r="G833" s="152">
        <v>634117647.05882347</v>
      </c>
      <c r="H833" s="152">
        <v>580854000</v>
      </c>
      <c r="I833" s="150">
        <v>1.0783195060696484</v>
      </c>
      <c r="J833" s="152">
        <v>0</v>
      </c>
    </row>
    <row r="834" spans="1:10" hidden="1">
      <c r="A834" s="64">
        <v>1521</v>
      </c>
      <c r="B834" s="150">
        <v>1.43</v>
      </c>
      <c r="C834" s="159">
        <v>0.78217821782178221</v>
      </c>
      <c r="D834" s="152">
        <v>76223776.223776221</v>
      </c>
      <c r="E834" s="26">
        <f>VLOOKUP(1521,季財報!$A:$H,8,0)</f>
        <v>2</v>
      </c>
      <c r="F834" s="159">
        <v>1.7783333333333332E-2</v>
      </c>
      <c r="G834" s="152">
        <v>6097902097.9020977</v>
      </c>
      <c r="H834" s="152">
        <v>5689772000</v>
      </c>
      <c r="I834" s="150">
        <v>1.0787582401526521</v>
      </c>
      <c r="J834" s="152">
        <v>17.880853323891301</v>
      </c>
    </row>
    <row r="835" spans="1:10" hidden="1">
      <c r="A835" s="64">
        <v>1702</v>
      </c>
      <c r="B835" s="150">
        <v>0.91</v>
      </c>
      <c r="C835" s="159">
        <v>1</v>
      </c>
      <c r="D835" s="152">
        <v>247252747.25274724</v>
      </c>
      <c r="E835" s="26">
        <f>VLOOKUP(1702,季財報!$A:$H,8,0)</f>
        <v>2</v>
      </c>
      <c r="F835" s="159">
        <v>9.6916666666666661E-3</v>
      </c>
      <c r="G835" s="152">
        <v>16565934065.934065</v>
      </c>
      <c r="H835" s="152">
        <v>15390332000</v>
      </c>
      <c r="I835" s="150">
        <v>1.0808707409510032</v>
      </c>
      <c r="J835" s="152">
        <v>18.406593406593405</v>
      </c>
    </row>
    <row r="836" spans="1:10" hidden="1">
      <c r="A836" s="64">
        <v>5206</v>
      </c>
      <c r="B836" s="52">
        <v>1.05</v>
      </c>
      <c r="C836" s="160">
        <v>0.94117647058823528</v>
      </c>
      <c r="D836" s="157">
        <v>150476190.47619048</v>
      </c>
      <c r="E836" s="26">
        <f>VLOOKUP(5206,季財報!$A:$H,8,0)</f>
        <v>5</v>
      </c>
      <c r="F836" s="160">
        <v>3.9694999999999996</v>
      </c>
      <c r="G836" s="54">
        <v>1647714285.7142856</v>
      </c>
      <c r="H836" s="54">
        <v>1680954000</v>
      </c>
      <c r="I836" s="65">
        <v>1.0835185776841203</v>
      </c>
      <c r="J836" s="162">
        <v>2.7700892857142856</v>
      </c>
    </row>
    <row r="837" spans="1:10" hidden="1">
      <c r="A837" s="64">
        <v>2303</v>
      </c>
      <c r="B837" s="150">
        <v>0.13</v>
      </c>
      <c r="C837" s="159">
        <v>0.7281230183893469</v>
      </c>
      <c r="D837" s="152">
        <v>13138461538.461538</v>
      </c>
      <c r="E837" s="26">
        <f>VLOOKUP(2303,季財報!$A:$H,8,0)</f>
        <v>2</v>
      </c>
      <c r="F837" s="159">
        <v>4.1666666666667282E-5</v>
      </c>
      <c r="G837" s="152">
        <v>159632307692.30771</v>
      </c>
      <c r="H837" s="152">
        <v>146361738000</v>
      </c>
      <c r="I837" s="150">
        <v>1.0875643693140502</v>
      </c>
      <c r="J837" s="152">
        <v>32.08988594684218</v>
      </c>
    </row>
    <row r="838" spans="1:10" hidden="1">
      <c r="A838" s="64">
        <v>2493</v>
      </c>
      <c r="B838" s="150">
        <v>1.1100000000000001</v>
      </c>
      <c r="C838" s="159">
        <v>0.76646706586826352</v>
      </c>
      <c r="D838" s="152">
        <v>114414414.41441441</v>
      </c>
      <c r="E838" s="26">
        <f>VLOOKUP(2493,季財報!$A:$H,8,0)</f>
        <v>3</v>
      </c>
      <c r="F838" s="159">
        <v>-1.7858333333333334E-2</v>
      </c>
      <c r="G838" s="152">
        <v>2459909909.9099097</v>
      </c>
      <c r="H838" s="152">
        <v>2205714000</v>
      </c>
      <c r="I838" s="150">
        <v>1.0920750229343754</v>
      </c>
      <c r="J838" s="152">
        <v>6.317743524774774</v>
      </c>
    </row>
    <row r="839" spans="1:10" hidden="1">
      <c r="A839" s="64">
        <v>3466</v>
      </c>
      <c r="B839" s="150">
        <v>0.32</v>
      </c>
      <c r="C839" s="159">
        <v>0</v>
      </c>
      <c r="D839" s="152">
        <v>81250000</v>
      </c>
      <c r="E839" s="26">
        <f>VLOOKUP(3466,季財報!$A:$H,8,0)</f>
        <v>2</v>
      </c>
      <c r="F839" s="159">
        <v>1.299166666666667E-2</v>
      </c>
      <c r="G839" s="152">
        <v>1832187500</v>
      </c>
      <c r="H839" s="152">
        <v>1615473000</v>
      </c>
      <c r="I839" s="150">
        <v>1.0926267171179553</v>
      </c>
      <c r="J839" s="152">
        <v>0</v>
      </c>
    </row>
    <row r="840" spans="1:10" hidden="1">
      <c r="A840" s="64">
        <v>4506</v>
      </c>
      <c r="B840" s="52">
        <v>0.8</v>
      </c>
      <c r="C840" s="160">
        <v>0.96</v>
      </c>
      <c r="D840" s="157">
        <v>197500000</v>
      </c>
      <c r="E840" s="26">
        <f>VLOOKUP(4506,季財報!$A:$H,8,0)</f>
        <v>6</v>
      </c>
      <c r="F840" s="160">
        <v>8.7416666666666698E-2</v>
      </c>
      <c r="G840" s="54">
        <v>5026375000</v>
      </c>
      <c r="H840" s="54">
        <v>4498040000</v>
      </c>
      <c r="I840" s="65">
        <v>1.0934463593193466</v>
      </c>
      <c r="J840" s="162">
        <v>8.2845052083333321</v>
      </c>
    </row>
    <row r="841" spans="1:10" hidden="1">
      <c r="A841" s="64">
        <v>1464</v>
      </c>
      <c r="B841" s="150">
        <v>0.39</v>
      </c>
      <c r="C841" s="159">
        <v>0.40625</v>
      </c>
      <c r="D841" s="152">
        <v>230769230.76923075</v>
      </c>
      <c r="E841" s="26">
        <f>VLOOKUP(1464,季財報!$A:$H,8,0)</f>
        <v>1</v>
      </c>
      <c r="F841" s="159">
        <v>2.1241666666666669E-2</v>
      </c>
      <c r="G841" s="152">
        <v>7523076923.0769224</v>
      </c>
      <c r="H841" s="152">
        <v>6942593000</v>
      </c>
      <c r="I841" s="150">
        <v>1.0939214075855865</v>
      </c>
      <c r="J841" s="152">
        <v>50</v>
      </c>
    </row>
    <row r="842" spans="1:10" hidden="1">
      <c r="A842" s="64">
        <v>6419</v>
      </c>
      <c r="B842" s="52">
        <v>0.35</v>
      </c>
      <c r="C842" s="160">
        <v>0.44444444444444442</v>
      </c>
      <c r="D842" s="157">
        <v>22857142.857142858</v>
      </c>
      <c r="E842" s="26">
        <f>VLOOKUP(6419,季財報!$A:$H,8,0)</f>
        <v>0</v>
      </c>
      <c r="F842" s="160">
        <v>-9.441666666666659E-3</v>
      </c>
      <c r="G842" s="54">
        <v>480000000</v>
      </c>
      <c r="H842" s="54">
        <v>426358000</v>
      </c>
      <c r="I842" s="65">
        <v>1.0945734242133323</v>
      </c>
      <c r="J842" s="162">
        <v>33.750000000000007</v>
      </c>
    </row>
    <row r="843" spans="1:10" hidden="1">
      <c r="A843" s="64">
        <v>4912</v>
      </c>
      <c r="B843" s="52">
        <v>2.06</v>
      </c>
      <c r="C843" s="160">
        <v>1</v>
      </c>
      <c r="D843" s="157">
        <v>39805825.242718443</v>
      </c>
      <c r="E843" s="26">
        <f>VLOOKUP(4912,季財報!$A:$H,8,0)</f>
        <v>2</v>
      </c>
      <c r="F843" s="160">
        <v>3.7208333333333322E-2</v>
      </c>
      <c r="G843" s="54">
        <v>3240194174.7572813</v>
      </c>
      <c r="H843" s="54">
        <v>2996373000</v>
      </c>
      <c r="I843" s="65">
        <v>1.0963050220811972</v>
      </c>
      <c r="J843" s="162">
        <v>9.8786407766990294</v>
      </c>
    </row>
    <row r="844" spans="1:10" hidden="1">
      <c r="A844" s="64">
        <v>5212</v>
      </c>
      <c r="B844" s="52">
        <v>0.45</v>
      </c>
      <c r="C844" s="160">
        <v>1</v>
      </c>
      <c r="D844" s="157">
        <v>35555555.555555552</v>
      </c>
      <c r="E844" s="26">
        <f>VLOOKUP(5212,季財報!$A:$H,8,0)</f>
        <v>2</v>
      </c>
      <c r="F844" s="160">
        <v>7.550833333333333E-2</v>
      </c>
      <c r="G844" s="54">
        <v>707555555.55555546</v>
      </c>
      <c r="H844" s="54">
        <v>647332000</v>
      </c>
      <c r="I844" s="65">
        <v>1.0969955620603533</v>
      </c>
      <c r="J844" s="162">
        <v>11.055555555555555</v>
      </c>
    </row>
    <row r="845" spans="1:10" hidden="1">
      <c r="A845" s="64">
        <v>2642</v>
      </c>
      <c r="B845" s="150">
        <v>7.0000000000000007E-2</v>
      </c>
      <c r="C845" s="159">
        <v>0.22580645161290322</v>
      </c>
      <c r="D845" s="152">
        <v>99999999.999999985</v>
      </c>
      <c r="E845" s="26">
        <f>VLOOKUP(2642,季財報!$A:$H,8,0)</f>
        <v>3</v>
      </c>
      <c r="F845" s="159">
        <v>5.7583333333333306E-3</v>
      </c>
      <c r="G845" s="152">
        <v>2849999999.9999995</v>
      </c>
      <c r="H845" s="152">
        <v>2594039000</v>
      </c>
      <c r="I845" s="150">
        <v>1.0975515358211936</v>
      </c>
      <c r="J845" s="152">
        <v>50</v>
      </c>
    </row>
    <row r="846" spans="1:10" hidden="1">
      <c r="A846" s="64">
        <v>3088</v>
      </c>
      <c r="B846" s="150">
        <v>1.9</v>
      </c>
      <c r="C846" s="159">
        <v>0.77973568281938321</v>
      </c>
      <c r="D846" s="152">
        <v>78947368.421052635</v>
      </c>
      <c r="E846" s="26">
        <f>VLOOKUP(3088,季財報!$A:$H,8,0)</f>
        <v>4</v>
      </c>
      <c r="F846" s="159">
        <v>2.7883333333333333E-2</v>
      </c>
      <c r="G846" s="152">
        <v>5076315789.4736843</v>
      </c>
      <c r="H846" s="152">
        <v>4691020000</v>
      </c>
      <c r="I846" s="150">
        <v>1.0995505226706854</v>
      </c>
      <c r="J846" s="152">
        <v>10.850505501040738</v>
      </c>
    </row>
    <row r="847" spans="1:10" hidden="1">
      <c r="A847" s="64">
        <v>3465</v>
      </c>
      <c r="B847" s="150">
        <v>-0.86</v>
      </c>
      <c r="C847" s="159">
        <v>1</v>
      </c>
      <c r="D847" s="152">
        <v>26744186.046511628</v>
      </c>
      <c r="E847" s="26">
        <f>VLOOKUP(3465,季財報!$A:$H,8,0)</f>
        <v>0</v>
      </c>
      <c r="F847" s="159">
        <v>5.5758333333333326E-2</v>
      </c>
      <c r="G847" s="152">
        <v>254069767.44186047</v>
      </c>
      <c r="H847" s="152">
        <v>206277000</v>
      </c>
      <c r="I847" s="150">
        <v>1.0997643836598265</v>
      </c>
      <c r="J847" s="152">
        <v>0</v>
      </c>
    </row>
    <row r="848" spans="1:10" hidden="1">
      <c r="A848" s="64">
        <v>2726</v>
      </c>
      <c r="B848" s="155">
        <v>1.33</v>
      </c>
      <c r="C848" s="159">
        <v>0.56521739130434778</v>
      </c>
      <c r="D848" s="156">
        <v>27067669.172932331</v>
      </c>
      <c r="E848" s="26">
        <f>VLOOKUP(2726,季財報!$A:$H,8,0)</f>
        <v>5</v>
      </c>
      <c r="F848" s="159">
        <v>2.1041666666666667E-2</v>
      </c>
      <c r="G848" s="156">
        <v>1748571428.5714283</v>
      </c>
      <c r="H848" s="156">
        <v>1601344000</v>
      </c>
      <c r="I848" s="155">
        <v>1.1013492337929576</v>
      </c>
      <c r="J848" s="156">
        <v>21.483516483516482</v>
      </c>
    </row>
    <row r="849" spans="1:10" hidden="1">
      <c r="A849" s="64">
        <v>2423</v>
      </c>
      <c r="B849" s="150">
        <v>0.5</v>
      </c>
      <c r="C849" s="159">
        <v>0.5321100917431193</v>
      </c>
      <c r="D849" s="152">
        <v>138000000</v>
      </c>
      <c r="E849" s="26">
        <f>VLOOKUP(2423,季財報!$A:$H,8,0)</f>
        <v>2</v>
      </c>
      <c r="F849" s="159">
        <v>4.5883333333333332E-2</v>
      </c>
      <c r="G849" s="152">
        <v>2332200000</v>
      </c>
      <c r="H849" s="152">
        <v>2143151000</v>
      </c>
      <c r="I849" s="150">
        <v>1.1018828201812469</v>
      </c>
      <c r="J849" s="152">
        <v>15.880172413793101</v>
      </c>
    </row>
    <row r="850" spans="1:10" hidden="1">
      <c r="A850" s="64">
        <v>3272</v>
      </c>
      <c r="B850" s="150">
        <v>1.77</v>
      </c>
      <c r="C850" s="159">
        <v>0.64</v>
      </c>
      <c r="D850" s="152">
        <v>51977401.129943505</v>
      </c>
      <c r="E850" s="26">
        <f>VLOOKUP(3272,季財報!$A:$H,8,0)</f>
        <v>3</v>
      </c>
      <c r="F850" s="159">
        <v>1.9808333333333341E-2</v>
      </c>
      <c r="G850" s="152">
        <v>3258983050.8474579</v>
      </c>
      <c r="H850" s="152">
        <v>2956989000</v>
      </c>
      <c r="I850" s="150">
        <v>1.102107288402064</v>
      </c>
      <c r="J850" s="152">
        <v>13.837394067796611</v>
      </c>
    </row>
    <row r="851" spans="1:10" hidden="1">
      <c r="A851" s="64">
        <v>3413</v>
      </c>
      <c r="B851" s="150">
        <v>2.5099999999999998</v>
      </c>
      <c r="C851" s="159">
        <v>0.78731343283582089</v>
      </c>
      <c r="D851" s="152">
        <v>65737051.792828694</v>
      </c>
      <c r="E851" s="26">
        <f>VLOOKUP(3413,季財報!$A:$H,8,0)</f>
        <v>2</v>
      </c>
      <c r="F851" s="159">
        <v>4.6300000000000001E-2</v>
      </c>
      <c r="G851" s="152">
        <v>5443027888.4462156</v>
      </c>
      <c r="H851" s="152">
        <v>5157340000</v>
      </c>
      <c r="I851" s="150">
        <v>1.1032467655143845</v>
      </c>
      <c r="J851" s="152">
        <v>10.474877740223938</v>
      </c>
    </row>
    <row r="852" spans="1:10" hidden="1">
      <c r="A852" s="64">
        <v>2442</v>
      </c>
      <c r="B852" s="150">
        <v>-0.12</v>
      </c>
      <c r="C852" s="159">
        <v>1</v>
      </c>
      <c r="D852" s="152">
        <v>200000000</v>
      </c>
      <c r="E852" s="26">
        <f>VLOOKUP(2442,季財報!$A:$H,8,0)</f>
        <v>1</v>
      </c>
      <c r="F852" s="159">
        <v>0.18153333333333332</v>
      </c>
      <c r="G852" s="152">
        <v>1294000000</v>
      </c>
      <c r="H852" s="152">
        <v>1189069000</v>
      </c>
      <c r="I852" s="150">
        <v>1.1125115420923126</v>
      </c>
      <c r="J852" s="152">
        <v>0</v>
      </c>
    </row>
    <row r="853" spans="1:10" hidden="1">
      <c r="A853" s="64">
        <v>1711</v>
      </c>
      <c r="B853" s="150">
        <v>0.36</v>
      </c>
      <c r="C853" s="159">
        <v>0.7516556291390728</v>
      </c>
      <c r="D853" s="152">
        <v>522222222.22222227</v>
      </c>
      <c r="E853" s="26">
        <f>VLOOKUP(1711,季財報!$A:$H,8,0)</f>
        <v>3</v>
      </c>
      <c r="F853" s="159">
        <v>1.2816666666666665E-2</v>
      </c>
      <c r="G853" s="152">
        <v>10653333333.333334</v>
      </c>
      <c r="H853" s="152">
        <v>9540147000</v>
      </c>
      <c r="I853" s="150">
        <v>1.1144674155148442</v>
      </c>
      <c r="J853" s="152">
        <v>18.847283406754773</v>
      </c>
    </row>
    <row r="854" spans="1:10" hidden="1">
      <c r="A854" s="64">
        <v>4976</v>
      </c>
      <c r="B854" s="52">
        <v>-0.06</v>
      </c>
      <c r="C854" s="160">
        <v>1</v>
      </c>
      <c r="D854" s="157">
        <v>100000000</v>
      </c>
      <c r="E854" s="26">
        <f>VLOOKUP(4976,季財報!$A:$H,8,0)</f>
        <v>2</v>
      </c>
      <c r="F854" s="160">
        <v>4.4466666666666661E-2</v>
      </c>
      <c r="G854" s="54">
        <v>1540000000</v>
      </c>
      <c r="H854" s="54">
        <v>1407569000</v>
      </c>
      <c r="I854" s="65">
        <v>1.1203471039027364</v>
      </c>
      <c r="J854" s="162">
        <v>0</v>
      </c>
    </row>
    <row r="855" spans="1:10" hidden="1">
      <c r="A855" s="64">
        <v>1434</v>
      </c>
      <c r="B855" s="150">
        <v>0.61</v>
      </c>
      <c r="C855" s="159">
        <v>0.71277842907385702</v>
      </c>
      <c r="D855" s="152">
        <v>1670491803.2786887</v>
      </c>
      <c r="E855" s="26">
        <f>VLOOKUP(1434,季財報!$A:$H,8,0)</f>
        <v>2</v>
      </c>
      <c r="F855" s="159">
        <v>-5.6166666666666648E-3</v>
      </c>
      <c r="G855" s="152">
        <v>48945409836.065582</v>
      </c>
      <c r="H855" s="152">
        <v>43224063000</v>
      </c>
      <c r="I855" s="150">
        <v>1.1216325258761763</v>
      </c>
      <c r="J855" s="152">
        <v>16.847025992234684</v>
      </c>
    </row>
    <row r="856" spans="1:10" hidden="1">
      <c r="A856" s="64">
        <v>3501</v>
      </c>
      <c r="B856" s="150">
        <v>2.31</v>
      </c>
      <c r="C856" s="159">
        <v>0.53333333333333333</v>
      </c>
      <c r="D856" s="152">
        <v>115584415.58441558</v>
      </c>
      <c r="E856" s="26">
        <f>VLOOKUP(3501,季財報!$A:$H,8,0)</f>
        <v>5</v>
      </c>
      <c r="F856" s="159">
        <v>2.4333333333333308E-3</v>
      </c>
      <c r="G856" s="152">
        <v>6241558441.5584412</v>
      </c>
      <c r="H856" s="152">
        <v>5493926000</v>
      </c>
      <c r="I856" s="150">
        <v>1.1240044404302927</v>
      </c>
      <c r="J856" s="152">
        <v>10.957792207792208</v>
      </c>
    </row>
    <row r="857" spans="1:10" hidden="1">
      <c r="A857" s="64">
        <v>3093</v>
      </c>
      <c r="B857" s="150">
        <v>0.67</v>
      </c>
      <c r="C857" s="159">
        <v>0.61764705882352944</v>
      </c>
      <c r="D857" s="152">
        <v>35820895.522388056</v>
      </c>
      <c r="E857" s="26">
        <f>VLOOKUP(3093,季財報!$A:$H,8,0)</f>
        <v>4</v>
      </c>
      <c r="F857" s="159">
        <v>0.112425</v>
      </c>
      <c r="G857" s="152">
        <v>1038805970.1492536</v>
      </c>
      <c r="H857" s="152">
        <v>960295000</v>
      </c>
      <c r="I857" s="150">
        <v>1.1288853789636588</v>
      </c>
      <c r="J857" s="152">
        <v>17.51954513148543</v>
      </c>
    </row>
    <row r="858" spans="1:10" hidden="1">
      <c r="A858" s="64">
        <v>6234</v>
      </c>
      <c r="B858" s="52">
        <v>0.27</v>
      </c>
      <c r="C858" s="160">
        <v>0</v>
      </c>
      <c r="D858" s="157">
        <v>70370370.370370373</v>
      </c>
      <c r="E858" s="26">
        <f>VLOOKUP(6234,季財報!$A:$H,8,0)</f>
        <v>1</v>
      </c>
      <c r="F858" s="160">
        <v>-9.2916666666666703E-3</v>
      </c>
      <c r="G858" s="54">
        <v>1347592592.5925925</v>
      </c>
      <c r="H858" s="54">
        <v>1169193000</v>
      </c>
      <c r="I858" s="65">
        <v>1.1315065279390217</v>
      </c>
      <c r="J858" s="162">
        <v>0</v>
      </c>
    </row>
    <row r="859" spans="1:10" hidden="1">
      <c r="A859" s="64">
        <v>6269</v>
      </c>
      <c r="B859" s="52">
        <v>3.34</v>
      </c>
      <c r="C859" s="160">
        <v>0.89507154213036566</v>
      </c>
      <c r="D859" s="157">
        <v>269161676.64670658</v>
      </c>
      <c r="E859" s="26">
        <f>VLOOKUP(6269,季財報!$A:$H,8,0)</f>
        <v>2</v>
      </c>
      <c r="F859" s="160">
        <v>3.789166666666665E-2</v>
      </c>
      <c r="G859" s="54">
        <v>21532934131.736526</v>
      </c>
      <c r="H859" s="54">
        <v>18982892000</v>
      </c>
      <c r="I859" s="65">
        <v>1.1345633280768281</v>
      </c>
      <c r="J859" s="162">
        <v>6.6899947883983373</v>
      </c>
    </row>
    <row r="860" spans="1:10" hidden="1">
      <c r="A860" s="64">
        <v>6505</v>
      </c>
      <c r="B860" s="52">
        <v>0.94</v>
      </c>
      <c r="C860" s="160">
        <v>0.81462443546470165</v>
      </c>
      <c r="D860" s="157">
        <v>9537234042.5531921</v>
      </c>
      <c r="E860" s="26">
        <f>VLOOKUP(6505,季財報!$A:$H,8,0)</f>
        <v>2</v>
      </c>
      <c r="F860" s="160">
        <v>-1.5833333333333331E-2</v>
      </c>
      <c r="G860" s="54">
        <v>741043085106.38306</v>
      </c>
      <c r="H860" s="54">
        <v>634555178000</v>
      </c>
      <c r="I860" s="65">
        <v>1.1403324559178383</v>
      </c>
      <c r="J860" s="162">
        <v>25.367387371866659</v>
      </c>
    </row>
    <row r="861" spans="1:10" hidden="1">
      <c r="A861" s="64">
        <v>1724</v>
      </c>
      <c r="B861" s="150">
        <v>0.44</v>
      </c>
      <c r="C861" s="159">
        <v>0.75308641975308643</v>
      </c>
      <c r="D861" s="152">
        <v>127272727.27272727</v>
      </c>
      <c r="E861" s="26">
        <f>VLOOKUP(1724,季財報!$A:$H,8,0)</f>
        <v>4</v>
      </c>
      <c r="F861" s="159">
        <v>1.978333333333333E-2</v>
      </c>
      <c r="G861" s="152">
        <v>1966363636.3636363</v>
      </c>
      <c r="H861" s="152">
        <v>1732107000</v>
      </c>
      <c r="I861" s="150">
        <v>1.1417736003890582</v>
      </c>
      <c r="J861" s="152">
        <v>11.65657600596125</v>
      </c>
    </row>
    <row r="862" spans="1:10" hidden="1">
      <c r="A862" s="64">
        <v>8277</v>
      </c>
      <c r="B862" s="52">
        <v>-0.01</v>
      </c>
      <c r="C862" s="160">
        <v>1</v>
      </c>
      <c r="D862" s="157">
        <v>100000000</v>
      </c>
      <c r="E862" s="26">
        <f>VLOOKUP(8277,季財報!$A:$H,8,0)</f>
        <v>2</v>
      </c>
      <c r="F862" s="160">
        <v>8.6133333333333353E-2</v>
      </c>
      <c r="G862" s="54">
        <v>730000000</v>
      </c>
      <c r="H862" s="54">
        <v>621831000</v>
      </c>
      <c r="I862" s="65">
        <v>1.142190157450131</v>
      </c>
      <c r="J862" s="162">
        <v>0</v>
      </c>
    </row>
    <row r="863" spans="1:10" hidden="1">
      <c r="A863" s="64">
        <v>1603</v>
      </c>
      <c r="B863" s="150">
        <v>0.52</v>
      </c>
      <c r="C863" s="159">
        <v>0.36923076923076925</v>
      </c>
      <c r="D863" s="152">
        <v>282692307.69230771</v>
      </c>
      <c r="E863" s="26">
        <f>VLOOKUP(1603,季財報!$A:$H,8,0)</f>
        <v>1</v>
      </c>
      <c r="F863" s="159">
        <v>5.6666666666666671E-2</v>
      </c>
      <c r="G863" s="152">
        <v>3307500000</v>
      </c>
      <c r="H863" s="152">
        <v>2928822000</v>
      </c>
      <c r="I863" s="150">
        <v>1.1457068985584358</v>
      </c>
      <c r="J863" s="152">
        <v>15.234374999999998</v>
      </c>
    </row>
    <row r="864" spans="1:10" hidden="1">
      <c r="A864" s="64">
        <v>1414</v>
      </c>
      <c r="B864" s="150">
        <v>0.06</v>
      </c>
      <c r="C864" s="159">
        <v>0</v>
      </c>
      <c r="D864" s="152">
        <v>200000000</v>
      </c>
      <c r="E864" s="26">
        <f>VLOOKUP(1414,季財報!$A:$H,8,0)</f>
        <v>2</v>
      </c>
      <c r="F864" s="159">
        <v>1.4741666666666672E-2</v>
      </c>
      <c r="G864" s="152">
        <v>1272000000</v>
      </c>
      <c r="H864" s="152">
        <v>1099623000</v>
      </c>
      <c r="I864" s="150">
        <v>1.1459748534197258</v>
      </c>
      <c r="J864" s="152">
        <v>0</v>
      </c>
    </row>
    <row r="865" spans="1:10" hidden="1">
      <c r="A865" s="64">
        <v>5102</v>
      </c>
      <c r="B865" s="52">
        <v>0.24</v>
      </c>
      <c r="C865" s="160">
        <v>0.8</v>
      </c>
      <c r="D865" s="157">
        <v>66666666.666666672</v>
      </c>
      <c r="E865" s="26">
        <f>VLOOKUP(5102,季財報!$A:$H,8,0)</f>
        <v>1</v>
      </c>
      <c r="F865" s="160">
        <v>-2.6433333333333333E-2</v>
      </c>
      <c r="G865" s="54">
        <v>960000000.00000012</v>
      </c>
      <c r="H865" s="54">
        <v>780234000</v>
      </c>
      <c r="I865" s="65">
        <v>1.1532445815524115</v>
      </c>
      <c r="J865" s="162">
        <v>18.75</v>
      </c>
    </row>
    <row r="866" spans="1:10" hidden="1">
      <c r="A866" s="64">
        <v>6114</v>
      </c>
      <c r="B866" s="52">
        <v>2.29</v>
      </c>
      <c r="C866" s="160">
        <v>0.83687943262411346</v>
      </c>
      <c r="D866" s="157">
        <v>36244541.484716155</v>
      </c>
      <c r="E866" s="26">
        <f>VLOOKUP(6114,季財報!$A:$H,8,0)</f>
        <v>2</v>
      </c>
      <c r="F866" s="160">
        <v>3.6158333333333334E-2</v>
      </c>
      <c r="G866" s="54">
        <v>1986200873.3624451</v>
      </c>
      <c r="H866" s="54">
        <v>1754024000</v>
      </c>
      <c r="I866" s="65">
        <v>1.1537074778139658</v>
      </c>
      <c r="J866" s="162">
        <v>7.1486196432536451</v>
      </c>
    </row>
    <row r="867" spans="1:10" hidden="1">
      <c r="A867" s="64">
        <v>4414</v>
      </c>
      <c r="B867" s="52">
        <v>-0.16</v>
      </c>
      <c r="C867" s="160">
        <v>1</v>
      </c>
      <c r="D867" s="157">
        <v>131250000</v>
      </c>
      <c r="E867" s="26">
        <f>VLOOKUP(4414,季財報!$A:$H,8,0)</f>
        <v>1</v>
      </c>
      <c r="F867" s="160">
        <v>5.869166666666667E-2</v>
      </c>
      <c r="G867" s="54">
        <v>2723437500</v>
      </c>
      <c r="H867" s="54">
        <v>2422464000</v>
      </c>
      <c r="I867" s="65">
        <v>1.1561471208155831</v>
      </c>
      <c r="J867" s="162">
        <v>0</v>
      </c>
    </row>
    <row r="868" spans="1:10" hidden="1">
      <c r="A868" s="64">
        <v>3297</v>
      </c>
      <c r="B868" s="150">
        <v>0.46</v>
      </c>
      <c r="C868" s="159">
        <v>0</v>
      </c>
      <c r="D868" s="152">
        <v>36956521.73913043</v>
      </c>
      <c r="E868" s="26">
        <f>VLOOKUP(3297,季財報!$A:$H,8,0)</f>
        <v>1</v>
      </c>
      <c r="F868" s="159">
        <v>1.8333333333333626E-4</v>
      </c>
      <c r="G868" s="152">
        <v>668913043.47826087</v>
      </c>
      <c r="H868" s="152">
        <v>564813000</v>
      </c>
      <c r="I868" s="150">
        <v>1.1579741706654472</v>
      </c>
      <c r="J868" s="152">
        <v>0</v>
      </c>
    </row>
    <row r="869" spans="1:10" hidden="1">
      <c r="A869" s="64">
        <v>3288</v>
      </c>
      <c r="B869" s="150">
        <v>-0.35</v>
      </c>
      <c r="C869" s="159">
        <v>0.95348837209302328</v>
      </c>
      <c r="D869" s="152">
        <v>48571428.571428575</v>
      </c>
      <c r="E869" s="26">
        <f>VLOOKUP(3288,季財報!$A:$H,8,0)</f>
        <v>3</v>
      </c>
      <c r="F869" s="159">
        <v>2.8808333333333328E-2</v>
      </c>
      <c r="G869" s="152">
        <v>328342857.14285713</v>
      </c>
      <c r="H869" s="152">
        <v>273484000</v>
      </c>
      <c r="I869" s="150">
        <v>1.1594518734651791</v>
      </c>
      <c r="J869" s="152">
        <v>0</v>
      </c>
    </row>
    <row r="870" spans="1:10" hidden="1">
      <c r="A870" s="64">
        <v>6411</v>
      </c>
      <c r="B870" s="52">
        <v>1.1100000000000001</v>
      </c>
      <c r="C870" s="160">
        <v>0.69411764705882351</v>
      </c>
      <c r="D870" s="157">
        <v>63063063.063063055</v>
      </c>
      <c r="E870" s="26">
        <f>VLOOKUP(6411,季財報!$A:$H,8,0)</f>
        <v>2</v>
      </c>
      <c r="F870" s="160">
        <v>3.5725E-2</v>
      </c>
      <c r="G870" s="54">
        <v>2200900900.9009004</v>
      </c>
      <c r="H870" s="54">
        <v>1947083000</v>
      </c>
      <c r="I870" s="65">
        <v>1.1598547301653277</v>
      </c>
      <c r="J870" s="162">
        <v>11.32424797679035</v>
      </c>
    </row>
    <row r="871" spans="1:10" hidden="1">
      <c r="A871" s="64">
        <v>5403</v>
      </c>
      <c r="B871" s="52">
        <v>0.39</v>
      </c>
      <c r="C871" s="160">
        <v>0.82352941176470584</v>
      </c>
      <c r="D871" s="157">
        <v>66666666.666666664</v>
      </c>
      <c r="E871" s="26">
        <f>VLOOKUP(5403,季財報!$A:$H,8,0)</f>
        <v>1</v>
      </c>
      <c r="F871" s="160">
        <v>2.7841666666666667E-2</v>
      </c>
      <c r="G871" s="54">
        <v>1493333333.3333333</v>
      </c>
      <c r="H871" s="54">
        <v>1305851000</v>
      </c>
      <c r="I871" s="65">
        <v>1.1599822688424619</v>
      </c>
      <c r="J871" s="162">
        <v>17.435897435897434</v>
      </c>
    </row>
    <row r="872" spans="1:10" hidden="1">
      <c r="A872" s="64">
        <v>6431</v>
      </c>
      <c r="B872" s="52">
        <v>-0.24</v>
      </c>
      <c r="C872" s="160">
        <v>1</v>
      </c>
      <c r="D872" s="157">
        <v>45833333.333333336</v>
      </c>
      <c r="E872" s="26">
        <f>VLOOKUP(6431,季財報!$A:$H,8,0)</f>
        <v>1</v>
      </c>
      <c r="F872" s="160">
        <v>0.57329166666666664</v>
      </c>
      <c r="G872" s="54">
        <v>472083333.33333337</v>
      </c>
      <c r="H872" s="54">
        <v>405917000</v>
      </c>
      <c r="I872" s="65">
        <v>1.1617967591920375</v>
      </c>
      <c r="J872" s="162">
        <v>0</v>
      </c>
    </row>
    <row r="873" spans="1:10" hidden="1">
      <c r="A873" s="64">
        <v>5215</v>
      </c>
      <c r="B873" s="52">
        <v>1.26</v>
      </c>
      <c r="C873" s="160">
        <v>0.61111111111111116</v>
      </c>
      <c r="D873" s="157">
        <v>53968253.96825397</v>
      </c>
      <c r="E873" s="26">
        <f>VLOOKUP(5215,季財報!$A:$H,8,0)</f>
        <v>4</v>
      </c>
      <c r="F873" s="160">
        <v>5.5925000000000002E-2</v>
      </c>
      <c r="G873" s="54">
        <v>2253174603.1746035</v>
      </c>
      <c r="H873" s="54">
        <v>1992235000</v>
      </c>
      <c r="I873" s="65">
        <v>1.1647750334463574</v>
      </c>
      <c r="J873" s="162">
        <v>13.555194805194805</v>
      </c>
    </row>
    <row r="874" spans="1:10" hidden="1">
      <c r="A874" s="64">
        <v>1611</v>
      </c>
      <c r="B874" s="150">
        <v>0.65</v>
      </c>
      <c r="C874" s="159">
        <v>0</v>
      </c>
      <c r="D874" s="152">
        <v>400000000</v>
      </c>
      <c r="E874" s="26">
        <f>VLOOKUP(1611,季財報!$A:$H,8,0)</f>
        <v>5</v>
      </c>
      <c r="F874" s="159">
        <v>5.2166666666666707E-3</v>
      </c>
      <c r="G874" s="152">
        <v>3176000000</v>
      </c>
      <c r="H874" s="152">
        <v>2718809000</v>
      </c>
      <c r="I874" s="150">
        <v>1.165499026977119</v>
      </c>
      <c r="J874" s="152">
        <v>0</v>
      </c>
    </row>
    <row r="875" spans="1:10" hidden="1">
      <c r="A875" s="64">
        <v>2705</v>
      </c>
      <c r="B875" s="150">
        <v>7.0000000000000007E-2</v>
      </c>
      <c r="C875" s="159">
        <v>1</v>
      </c>
      <c r="D875" s="152">
        <v>328571428.57142854</v>
      </c>
      <c r="E875" s="26">
        <f>VLOOKUP(2705,季財報!$A:$H,8,0)</f>
        <v>2</v>
      </c>
      <c r="F875" s="159">
        <v>9.8999999999999991E-3</v>
      </c>
      <c r="G875" s="152">
        <v>3384285714.2857141</v>
      </c>
      <c r="H875" s="152">
        <v>2909565000</v>
      </c>
      <c r="I875" s="150">
        <v>1.1661397706874006</v>
      </c>
      <c r="J875" s="152">
        <v>36.785714285714285</v>
      </c>
    </row>
    <row r="876" spans="1:10" hidden="1">
      <c r="A876" s="64">
        <v>4944</v>
      </c>
      <c r="B876" s="52">
        <v>-0.96</v>
      </c>
      <c r="C876" s="160">
        <v>0.99692307692307691</v>
      </c>
      <c r="D876" s="157">
        <v>210416666.66666669</v>
      </c>
      <c r="E876" s="26">
        <f>VLOOKUP(4944,季財報!$A:$H,8,0)</f>
        <v>2</v>
      </c>
      <c r="F876" s="160">
        <v>-4.7833333333333434E-3</v>
      </c>
      <c r="G876" s="54">
        <v>2588125000.0000005</v>
      </c>
      <c r="H876" s="54">
        <v>2195323000</v>
      </c>
      <c r="I876" s="65">
        <v>1.1680650727049287</v>
      </c>
      <c r="J876" s="162">
        <v>0</v>
      </c>
    </row>
    <row r="877" spans="1:10" hidden="1">
      <c r="A877" s="64">
        <v>2362</v>
      </c>
      <c r="B877" s="150">
        <v>0.06</v>
      </c>
      <c r="C877" s="159">
        <v>1</v>
      </c>
      <c r="D877" s="152">
        <v>700000000</v>
      </c>
      <c r="E877" s="26">
        <f>VLOOKUP(2362,季財報!$A:$H,8,0)</f>
        <v>1</v>
      </c>
      <c r="F877" s="159">
        <v>9.2750000000000072E-3</v>
      </c>
      <c r="G877" s="152">
        <v>22470000000</v>
      </c>
      <c r="H877" s="152">
        <v>19169110000</v>
      </c>
      <c r="I877" s="150">
        <v>1.1702759288772226</v>
      </c>
      <c r="J877" s="152">
        <v>50</v>
      </c>
    </row>
    <row r="878" spans="1:10" hidden="1">
      <c r="A878" s="64">
        <v>1570</v>
      </c>
      <c r="B878" s="150">
        <v>0.8</v>
      </c>
      <c r="C878" s="159">
        <v>0.78688524590163933</v>
      </c>
      <c r="D878" s="152">
        <v>51250000</v>
      </c>
      <c r="E878" s="26">
        <f>VLOOKUP(1570,季財報!$A:$H,8,0)</f>
        <v>5</v>
      </c>
      <c r="F878" s="159">
        <v>2.4583333333333336E-2</v>
      </c>
      <c r="G878" s="152">
        <v>827687499.99999988</v>
      </c>
      <c r="H878" s="152">
        <v>701618000</v>
      </c>
      <c r="I878" s="150">
        <v>1.1726907829674609</v>
      </c>
      <c r="J878" s="152">
        <v>6.4137369791666652</v>
      </c>
    </row>
    <row r="879" spans="1:10" hidden="1">
      <c r="A879" s="64">
        <v>4735</v>
      </c>
      <c r="B879" s="52">
        <v>0.76</v>
      </c>
      <c r="C879" s="160">
        <v>0.8</v>
      </c>
      <c r="D879" s="157">
        <v>31578947.368421052</v>
      </c>
      <c r="E879" s="26">
        <f>VLOOKUP(4735,季財報!$A:$H,8,0)</f>
        <v>3</v>
      </c>
      <c r="F879" s="160">
        <v>4.7599999999999996E-2</v>
      </c>
      <c r="G879" s="54">
        <v>1201578947.3684208</v>
      </c>
      <c r="H879" s="54">
        <v>1013426000</v>
      </c>
      <c r="I879" s="65">
        <v>1.1753153505451392</v>
      </c>
      <c r="J879" s="162">
        <v>15.645559210526311</v>
      </c>
    </row>
    <row r="880" spans="1:10" hidden="1">
      <c r="A880" s="64">
        <v>8210</v>
      </c>
      <c r="B880" s="52">
        <v>1.1200000000000001</v>
      </c>
      <c r="C880" s="160">
        <v>0.78542510121457487</v>
      </c>
      <c r="D880" s="157">
        <v>119642857.14285713</v>
      </c>
      <c r="E880" s="26">
        <f>VLOOKUP(8210,季財報!$A:$H,8,0)</f>
        <v>4</v>
      </c>
      <c r="F880" s="160">
        <v>5.3900000000000003E-2</v>
      </c>
      <c r="G880" s="54">
        <v>5144642857.1428566</v>
      </c>
      <c r="H880" s="54">
        <v>4462386000</v>
      </c>
      <c r="I880" s="65">
        <v>1.175559116480942</v>
      </c>
      <c r="J880" s="162">
        <v>12.220406848306332</v>
      </c>
    </row>
    <row r="881" spans="1:10" hidden="1">
      <c r="A881" s="64">
        <v>2426</v>
      </c>
      <c r="B881" s="150">
        <v>0.41</v>
      </c>
      <c r="C881" s="159">
        <v>0.84651162790697676</v>
      </c>
      <c r="D881" s="152">
        <v>275609756.097561</v>
      </c>
      <c r="E881" s="26">
        <f>VLOOKUP(2426,季財報!$A:$H,8,0)</f>
        <v>2</v>
      </c>
      <c r="F881" s="159">
        <v>4.7083333333333326E-3</v>
      </c>
      <c r="G881" s="152">
        <v>4285731707.3170738</v>
      </c>
      <c r="H881" s="152">
        <v>3591518000</v>
      </c>
      <c r="I881" s="150">
        <v>1.1761790196477757</v>
      </c>
      <c r="J881" s="152">
        <v>11.20091798445457</v>
      </c>
    </row>
    <row r="882" spans="1:10" hidden="1">
      <c r="A882" s="64">
        <v>9941</v>
      </c>
      <c r="B882" s="52">
        <v>0.95</v>
      </c>
      <c r="C882" s="160">
        <v>1</v>
      </c>
      <c r="D882" s="157">
        <v>266315789.47368422</v>
      </c>
      <c r="E882" s="26">
        <f>VLOOKUP(9941,季財報!$A:$H,8,0)</f>
        <v>0</v>
      </c>
      <c r="F882" s="160">
        <v>2.4666666666666665E-3</v>
      </c>
      <c r="G882" s="54">
        <v>19734000000</v>
      </c>
      <c r="H882" s="54">
        <v>16792174000</v>
      </c>
      <c r="I882" s="65">
        <v>1.1769670869092441</v>
      </c>
      <c r="J882" s="162">
        <v>19.5</v>
      </c>
    </row>
    <row r="883" spans="1:10" hidden="1">
      <c r="A883" s="64">
        <v>3213</v>
      </c>
      <c r="B883" s="150">
        <v>0.93</v>
      </c>
      <c r="C883" s="159">
        <v>0.95238095238095233</v>
      </c>
      <c r="D883" s="152">
        <v>59139784.946236558</v>
      </c>
      <c r="E883" s="26">
        <f>VLOOKUP(3213,季財報!$A:$H,8,0)</f>
        <v>2</v>
      </c>
      <c r="F883" s="159">
        <v>1.9000000000000013E-2</v>
      </c>
      <c r="G883" s="152">
        <v>2507526881.7204299</v>
      </c>
      <c r="H883" s="152">
        <v>2115508000</v>
      </c>
      <c r="I883" s="150">
        <v>1.1790627417912862</v>
      </c>
      <c r="J883" s="152">
        <v>11.967741935483872</v>
      </c>
    </row>
    <row r="884" spans="1:10" hidden="1">
      <c r="A884" s="64">
        <v>4305</v>
      </c>
      <c r="B884" s="52">
        <v>0.85</v>
      </c>
      <c r="C884" s="160">
        <v>0.81111111111111112</v>
      </c>
      <c r="D884" s="157">
        <v>55294117.647058822</v>
      </c>
      <c r="E884" s="26">
        <f>VLOOKUP(4305,季財報!$A:$H,8,0)</f>
        <v>4</v>
      </c>
      <c r="F884" s="160">
        <v>1.5049999999999999E-2</v>
      </c>
      <c r="G884" s="54">
        <v>1481882352.9411764</v>
      </c>
      <c r="H884" s="54">
        <v>1246055000</v>
      </c>
      <c r="I884" s="65">
        <v>1.1791085112144957</v>
      </c>
      <c r="J884" s="162">
        <v>9.7179693795326365</v>
      </c>
    </row>
    <row r="885" spans="1:10" hidden="1">
      <c r="A885" s="64">
        <v>3042</v>
      </c>
      <c r="B885" s="150">
        <v>0.92</v>
      </c>
      <c r="C885" s="159">
        <v>0.70626349892008644</v>
      </c>
      <c r="D885" s="152">
        <v>310869565.21739131</v>
      </c>
      <c r="E885" s="26">
        <f>VLOOKUP(3042,季財報!$A:$H,8,0)</f>
        <v>4</v>
      </c>
      <c r="F885" s="159">
        <v>8.4249999999999967E-3</v>
      </c>
      <c r="G885" s="152">
        <v>10911521739.130436</v>
      </c>
      <c r="H885" s="152">
        <v>9271856000</v>
      </c>
      <c r="I885" s="150">
        <v>1.1800496826942255</v>
      </c>
      <c r="J885" s="152">
        <v>13.504936178699639</v>
      </c>
    </row>
    <row r="886" spans="1:10" hidden="1">
      <c r="A886" s="64">
        <v>6219</v>
      </c>
      <c r="B886" s="52">
        <v>-0.01</v>
      </c>
      <c r="C886" s="160">
        <v>0.78350515463917525</v>
      </c>
      <c r="D886" s="157">
        <v>200000000</v>
      </c>
      <c r="E886" s="26">
        <f>VLOOKUP(6219,季財報!$A:$H,8,0)</f>
        <v>3</v>
      </c>
      <c r="F886" s="160">
        <v>5.6148333333333333</v>
      </c>
      <c r="G886" s="54">
        <v>2400000000</v>
      </c>
      <c r="H886" s="54">
        <v>2048688000</v>
      </c>
      <c r="I886" s="65">
        <v>1.1818904830731123</v>
      </c>
      <c r="J886" s="162">
        <v>0</v>
      </c>
    </row>
    <row r="887" spans="1:10" hidden="1">
      <c r="A887" s="64">
        <v>1321</v>
      </c>
      <c r="B887" s="150">
        <v>0.2</v>
      </c>
      <c r="C887" s="159">
        <v>0.41791044776119401</v>
      </c>
      <c r="D887" s="152">
        <v>220000000</v>
      </c>
      <c r="E887" s="26">
        <f>VLOOKUP(1321,季財報!$A:$H,8,0)</f>
        <v>4</v>
      </c>
      <c r="F887" s="159">
        <v>-6.3666666666666663E-3</v>
      </c>
      <c r="G887" s="152">
        <v>5610000000</v>
      </c>
      <c r="H887" s="152">
        <v>4661593000</v>
      </c>
      <c r="I887" s="150">
        <v>1.1824135273165979</v>
      </c>
      <c r="J887" s="152">
        <v>50</v>
      </c>
    </row>
    <row r="888" spans="1:10" hidden="1">
      <c r="A888" s="64">
        <v>2115</v>
      </c>
      <c r="B888" s="150">
        <v>0.89</v>
      </c>
      <c r="C888" s="159">
        <v>0.81679389312977102</v>
      </c>
      <c r="D888" s="152">
        <v>74157303.370786518</v>
      </c>
      <c r="E888" s="26">
        <f>VLOOKUP(2115,季財報!$A:$H,8,0)</f>
        <v>3</v>
      </c>
      <c r="F888" s="159">
        <v>-4.8333333333333475E-4</v>
      </c>
      <c r="G888" s="152">
        <v>3029325842.6966295</v>
      </c>
      <c r="H888" s="152">
        <v>2514941000</v>
      </c>
      <c r="I888" s="150">
        <v>1.1958867510460927</v>
      </c>
      <c r="J888" s="152">
        <v>14.048487871469074</v>
      </c>
    </row>
    <row r="889" spans="1:10" hidden="1">
      <c r="A889" s="64">
        <v>3443</v>
      </c>
      <c r="B889" s="150">
        <v>0.92</v>
      </c>
      <c r="C889" s="159">
        <v>0.94339622641509435</v>
      </c>
      <c r="D889" s="152">
        <v>133695652.17391303</v>
      </c>
      <c r="E889" s="26">
        <f>VLOOKUP(3443,季財報!$A:$H,8,0)</f>
        <v>3</v>
      </c>
      <c r="F889" s="159">
        <v>5.3583333333333287E-3</v>
      </c>
      <c r="G889" s="152">
        <v>8997717391.3043461</v>
      </c>
      <c r="H889" s="152">
        <v>7453214000</v>
      </c>
      <c r="I889" s="150">
        <v>1.1964741057616792</v>
      </c>
      <c r="J889" s="152">
        <v>19.385326086956521</v>
      </c>
    </row>
    <row r="890" spans="1:10" hidden="1">
      <c r="A890" s="64">
        <v>3060</v>
      </c>
      <c r="B890" s="150">
        <v>1.7</v>
      </c>
      <c r="C890" s="159">
        <v>6.6496163682864456E-2</v>
      </c>
      <c r="D890" s="152">
        <v>174117647.05882353</v>
      </c>
      <c r="E890" s="26">
        <f>VLOOKUP(3060,季財報!$A:$H,8,0)</f>
        <v>3</v>
      </c>
      <c r="F890" s="159">
        <v>2.7366666666666664E-2</v>
      </c>
      <c r="G890" s="152">
        <v>9472000000</v>
      </c>
      <c r="H890" s="152">
        <v>8021150000</v>
      </c>
      <c r="I890" s="150">
        <v>1.1983493345188625</v>
      </c>
      <c r="J890" s="152">
        <v>50</v>
      </c>
    </row>
    <row r="891" spans="1:10" hidden="1">
      <c r="A891" s="64">
        <v>1531</v>
      </c>
      <c r="B891" s="150">
        <v>0.35</v>
      </c>
      <c r="C891" s="159">
        <v>0.17592592592592593</v>
      </c>
      <c r="D891" s="152">
        <v>182857142.85714287</v>
      </c>
      <c r="E891" s="26">
        <f>VLOOKUP(1531,季財報!$A:$H,8,0)</f>
        <v>3</v>
      </c>
      <c r="F891" s="159">
        <v>-9.1749999999999991E-3</v>
      </c>
      <c r="G891" s="152">
        <v>3126857142.8571434</v>
      </c>
      <c r="H891" s="152">
        <v>2563647000</v>
      </c>
      <c r="I891" s="150">
        <v>1.2000885591667019</v>
      </c>
      <c r="J891" s="152">
        <v>50</v>
      </c>
    </row>
    <row r="892" spans="1:10" hidden="1">
      <c r="A892" s="64">
        <v>2373</v>
      </c>
      <c r="B892" s="150">
        <v>0.99</v>
      </c>
      <c r="C892" s="159">
        <v>0.30642504118616143</v>
      </c>
      <c r="D892" s="152">
        <v>311111111.1111111</v>
      </c>
      <c r="E892" s="26">
        <f>VLOOKUP(2373,季財報!$A:$H,8,0)</f>
        <v>1</v>
      </c>
      <c r="F892" s="159">
        <v>2.7924999999999995E-2</v>
      </c>
      <c r="G892" s="152">
        <v>15680000000</v>
      </c>
      <c r="H892" s="152">
        <v>13237424000</v>
      </c>
      <c r="I892" s="150">
        <v>1.2050902149902463</v>
      </c>
      <c r="J892" s="152">
        <v>41.534701857282499</v>
      </c>
    </row>
    <row r="893" spans="1:10" hidden="1">
      <c r="A893" s="64">
        <v>1506</v>
      </c>
      <c r="B893" s="150">
        <v>0.18</v>
      </c>
      <c r="C893" s="159">
        <v>0.46153846153846156</v>
      </c>
      <c r="D893" s="152">
        <v>122222222.22222222</v>
      </c>
      <c r="E893" s="26">
        <f>VLOOKUP(1506,季財報!$A:$H,8,0)</f>
        <v>3</v>
      </c>
      <c r="F893" s="159">
        <v>1.4841666666666668E-2</v>
      </c>
      <c r="G893" s="152">
        <v>1870000000</v>
      </c>
      <c r="H893" s="152">
        <v>1561143000</v>
      </c>
      <c r="I893" s="150">
        <v>1.2062726176115801</v>
      </c>
      <c r="J893" s="152">
        <v>46.041666666666671</v>
      </c>
    </row>
    <row r="894" spans="1:10" hidden="1">
      <c r="A894" s="64">
        <v>1326</v>
      </c>
      <c r="B894" s="150">
        <v>1.33</v>
      </c>
      <c r="C894" s="159">
        <v>0.3373319338231619</v>
      </c>
      <c r="D894" s="152">
        <v>5868421052.6315784</v>
      </c>
      <c r="E894" s="26">
        <f>VLOOKUP(1326,季財報!$A:$H,8,0)</f>
        <v>2</v>
      </c>
      <c r="F894" s="159">
        <v>-8.9250000000000006E-3</v>
      </c>
      <c r="G894" s="152">
        <v>406681578947.36835</v>
      </c>
      <c r="H894" s="152">
        <v>332500302000</v>
      </c>
      <c r="I894" s="150">
        <v>1.2079265076799472</v>
      </c>
      <c r="J894" s="152">
        <v>38.615720847532963</v>
      </c>
    </row>
    <row r="895" spans="1:10" hidden="1">
      <c r="A895" s="64">
        <v>8069</v>
      </c>
      <c r="B895" s="52">
        <v>0.7</v>
      </c>
      <c r="C895" s="160">
        <v>0</v>
      </c>
      <c r="D895" s="157">
        <v>1140000000</v>
      </c>
      <c r="E895" s="26">
        <f>VLOOKUP(8069,季財報!$A:$H,8,0)</f>
        <v>3</v>
      </c>
      <c r="F895" s="160">
        <v>-2.9500000000000012E-3</v>
      </c>
      <c r="G895" s="54">
        <v>17271000000</v>
      </c>
      <c r="H895" s="54">
        <v>14054638000</v>
      </c>
      <c r="I895" s="65">
        <v>1.2091413353272158</v>
      </c>
      <c r="J895" s="162">
        <v>0</v>
      </c>
    </row>
    <row r="896" spans="1:10" hidden="1">
      <c r="A896" s="64">
        <v>3390</v>
      </c>
      <c r="B896" s="150">
        <v>0.41</v>
      </c>
      <c r="C896" s="159">
        <v>0</v>
      </c>
      <c r="D896" s="152">
        <v>65853658.536585368</v>
      </c>
      <c r="E896" s="26">
        <f>VLOOKUP(3390,季財報!$A:$H,8,0)</f>
        <v>2</v>
      </c>
      <c r="F896" s="159">
        <v>1.2258333333333329E-2</v>
      </c>
      <c r="G896" s="152">
        <v>1000975609.7560976</v>
      </c>
      <c r="H896" s="152">
        <v>802971000</v>
      </c>
      <c r="I896" s="150">
        <v>1.2115488592355286</v>
      </c>
      <c r="J896" s="152">
        <v>0</v>
      </c>
    </row>
    <row r="897" spans="1:10" hidden="1">
      <c r="A897" s="64">
        <v>8016</v>
      </c>
      <c r="B897" s="52">
        <v>1.97</v>
      </c>
      <c r="C897" s="160">
        <v>0.85166240409207161</v>
      </c>
      <c r="D897" s="157">
        <v>118274111.67512691</v>
      </c>
      <c r="E897" s="26">
        <f>VLOOKUP(8016,季財報!$A:$H,8,0)</f>
        <v>3</v>
      </c>
      <c r="F897" s="160">
        <v>3.2891666666666659E-2</v>
      </c>
      <c r="G897" s="54">
        <v>10881218274.111675</v>
      </c>
      <c r="H897" s="54">
        <v>9109354000</v>
      </c>
      <c r="I897" s="65">
        <v>1.2159609043179072</v>
      </c>
      <c r="J897" s="162">
        <v>13.708632490358379</v>
      </c>
    </row>
    <row r="898" spans="1:10" hidden="1">
      <c r="A898" s="64">
        <v>6223</v>
      </c>
      <c r="B898" s="52">
        <v>1.25</v>
      </c>
      <c r="C898" s="160">
        <v>1</v>
      </c>
      <c r="D898" s="157">
        <v>79200000</v>
      </c>
      <c r="E898" s="26">
        <f>VLOOKUP(6223,季財報!$A:$H,8,0)</f>
        <v>1</v>
      </c>
      <c r="F898" s="160">
        <v>-7.8083333333333338E-3</v>
      </c>
      <c r="G898" s="54">
        <v>5021280000</v>
      </c>
      <c r="H898" s="54">
        <v>4028577000</v>
      </c>
      <c r="I898" s="65">
        <v>1.2162795547807586</v>
      </c>
      <c r="J898" s="162">
        <v>12.68</v>
      </c>
    </row>
    <row r="899" spans="1:10" hidden="1">
      <c r="A899" s="64">
        <v>5364</v>
      </c>
      <c r="B899" s="52">
        <v>0.21</v>
      </c>
      <c r="C899" s="160">
        <v>0.5</v>
      </c>
      <c r="D899" s="157">
        <v>9523809.5238095243</v>
      </c>
      <c r="E899" s="26">
        <f>VLOOKUP(5364,季財報!$A:$H,8,0)</f>
        <v>3</v>
      </c>
      <c r="F899" s="160">
        <v>9.6991666666666657E-2</v>
      </c>
      <c r="G899" s="54">
        <v>471428571.42857146</v>
      </c>
      <c r="H899" s="54">
        <v>409188000</v>
      </c>
      <c r="I899" s="65">
        <v>1.2169196077093702</v>
      </c>
      <c r="J899" s="162">
        <v>50</v>
      </c>
    </row>
    <row r="900" spans="1:10" hidden="1">
      <c r="A900" s="64">
        <v>3373</v>
      </c>
      <c r="B900" s="150">
        <v>0.66</v>
      </c>
      <c r="C900" s="159">
        <v>0.48780487804878048</v>
      </c>
      <c r="D900" s="152">
        <v>42424242.424242422</v>
      </c>
      <c r="E900" s="26">
        <f>VLOOKUP(3373,季財報!$A:$H,8,0)</f>
        <v>4</v>
      </c>
      <c r="F900" s="159">
        <v>2.4724999999999997E-2</v>
      </c>
      <c r="G900" s="152">
        <v>1073333333.3333333</v>
      </c>
      <c r="H900" s="152">
        <v>901779000</v>
      </c>
      <c r="I900" s="150">
        <v>1.2174516015727055</v>
      </c>
      <c r="J900" s="152">
        <v>19.645833333333332</v>
      </c>
    </row>
    <row r="901" spans="1:10" hidden="1">
      <c r="A901" s="64">
        <v>1591</v>
      </c>
      <c r="B901" s="150">
        <v>0.26</v>
      </c>
      <c r="C901" s="159">
        <v>0.93333333333333335</v>
      </c>
      <c r="D901" s="152">
        <v>30769230.769230768</v>
      </c>
      <c r="E901" s="26">
        <f>VLOOKUP(1591,季財報!$A:$H,8,0)</f>
        <v>1</v>
      </c>
      <c r="F901" s="159">
        <v>1.4641666666666662E-2</v>
      </c>
      <c r="G901" s="152">
        <v>764615384.61538458</v>
      </c>
      <c r="H901" s="152">
        <v>602306000</v>
      </c>
      <c r="I901" s="150">
        <v>1.2232397837942142</v>
      </c>
      <c r="J901" s="152">
        <v>25.60096153846154</v>
      </c>
    </row>
    <row r="902" spans="1:10" hidden="1">
      <c r="A902" s="64">
        <v>8042</v>
      </c>
      <c r="B902" s="52">
        <v>0.77</v>
      </c>
      <c r="C902" s="160">
        <v>0.98726114649681529</v>
      </c>
      <c r="D902" s="157">
        <v>103896103.89610389</v>
      </c>
      <c r="E902" s="26">
        <f>VLOOKUP(8042,季財報!$A:$H,8,0)</f>
        <v>2</v>
      </c>
      <c r="F902" s="160">
        <v>3.5841666666666668E-2</v>
      </c>
      <c r="G902" s="54">
        <v>3776623376.6233764</v>
      </c>
      <c r="H902" s="54">
        <v>3164503000</v>
      </c>
      <c r="I902" s="65">
        <v>1.2238911618673627</v>
      </c>
      <c r="J902" s="162">
        <v>11.954231252618349</v>
      </c>
    </row>
    <row r="903" spans="1:10" hidden="1">
      <c r="A903" s="64">
        <v>8121</v>
      </c>
      <c r="B903" s="52">
        <v>-0.55000000000000004</v>
      </c>
      <c r="C903" s="160">
        <v>1</v>
      </c>
      <c r="D903" s="157">
        <v>183636363.63636363</v>
      </c>
      <c r="E903" s="26">
        <f>VLOOKUP(8121,季財報!$A:$H,8,0)</f>
        <v>1</v>
      </c>
      <c r="F903" s="160">
        <v>5.6416666666666638E-3</v>
      </c>
      <c r="G903" s="54">
        <v>2993272727.272727</v>
      </c>
      <c r="H903" s="54">
        <v>2421348000</v>
      </c>
      <c r="I903" s="65">
        <v>1.2273768787335539</v>
      </c>
      <c r="J903" s="162">
        <v>0</v>
      </c>
    </row>
    <row r="904" spans="1:10" hidden="1">
      <c r="A904" s="64">
        <v>3672</v>
      </c>
      <c r="B904" s="150">
        <v>0.98</v>
      </c>
      <c r="C904" s="159">
        <v>0.76470588235294112</v>
      </c>
      <c r="D904" s="152">
        <v>29591836.734693877</v>
      </c>
      <c r="E904" s="26">
        <f>VLOOKUP(3672,季財報!$A:$H,8,0)</f>
        <v>3</v>
      </c>
      <c r="F904" s="159">
        <v>1.4833333333333329E-2</v>
      </c>
      <c r="G904" s="152">
        <v>1035714285.7142857</v>
      </c>
      <c r="H904" s="152">
        <v>837695000</v>
      </c>
      <c r="I904" s="150">
        <v>1.2293257089139848</v>
      </c>
      <c r="J904" s="152">
        <v>11.675824175824177</v>
      </c>
    </row>
    <row r="905" spans="1:10" hidden="1">
      <c r="A905" s="64">
        <v>4127</v>
      </c>
      <c r="B905" s="52">
        <v>0.13</v>
      </c>
      <c r="C905" s="160">
        <v>1</v>
      </c>
      <c r="D905" s="157">
        <v>46153846.153846152</v>
      </c>
      <c r="E905" s="26">
        <f>VLOOKUP(4127,季財報!$A:$H,8,0)</f>
        <v>0</v>
      </c>
      <c r="F905" s="160">
        <v>6.0583333333333331E-3</v>
      </c>
      <c r="G905" s="54">
        <v>1054615384.6153847</v>
      </c>
      <c r="H905" s="54">
        <v>848571000</v>
      </c>
      <c r="I905" s="65">
        <v>1.2336717337191101</v>
      </c>
      <c r="J905" s="162">
        <v>43.942307692307693</v>
      </c>
    </row>
    <row r="906" spans="1:10" hidden="1">
      <c r="A906" s="64">
        <v>6605</v>
      </c>
      <c r="B906" s="52">
        <v>3.82</v>
      </c>
      <c r="C906" s="160">
        <v>0.7334070796460177</v>
      </c>
      <c r="D906" s="157">
        <v>165706806.28272253</v>
      </c>
      <c r="E906" s="26">
        <f>VLOOKUP(6605,季財報!$A:$H,8,0)</f>
        <v>4</v>
      </c>
      <c r="F906" s="160">
        <v>2.2591666666666666E-2</v>
      </c>
      <c r="G906" s="54">
        <v>18144895287.958118</v>
      </c>
      <c r="H906" s="54">
        <v>14887932000</v>
      </c>
      <c r="I906" s="65">
        <v>1.236819162768326</v>
      </c>
      <c r="J906" s="162">
        <v>9.7711497003150836</v>
      </c>
    </row>
    <row r="907" spans="1:10" hidden="1">
      <c r="A907" s="64">
        <v>2316</v>
      </c>
      <c r="B907" s="150">
        <v>1.06</v>
      </c>
      <c r="C907" s="159">
        <v>0</v>
      </c>
      <c r="D907" s="152">
        <v>316981132.0754717</v>
      </c>
      <c r="E907" s="26">
        <f>VLOOKUP(2316,季財報!$A:$H,8,0)</f>
        <v>2</v>
      </c>
      <c r="F907" s="159">
        <v>-1.2424999999999999E-2</v>
      </c>
      <c r="G907" s="152">
        <v>8098867924.5283022</v>
      </c>
      <c r="H907" s="152">
        <v>6312485000</v>
      </c>
      <c r="I907" s="150">
        <v>1.2397173913386292</v>
      </c>
      <c r="J907" s="152">
        <v>0</v>
      </c>
    </row>
    <row r="908" spans="1:10" hidden="1">
      <c r="A908" s="64">
        <v>1708</v>
      </c>
      <c r="B908" s="150">
        <v>1.21</v>
      </c>
      <c r="C908" s="159">
        <v>0.90864197530864199</v>
      </c>
      <c r="D908" s="152">
        <v>182644628.09917355</v>
      </c>
      <c r="E908" s="26">
        <f>VLOOKUP(1708,季財報!$A:$H,8,0)</f>
        <v>4</v>
      </c>
      <c r="F908" s="159">
        <v>2.1250000000000036E-3</v>
      </c>
      <c r="G908" s="152">
        <v>5780702479.3388424</v>
      </c>
      <c r="H908" s="152">
        <v>4634731000</v>
      </c>
      <c r="I908" s="150">
        <v>1.2420418490034346</v>
      </c>
      <c r="J908" s="152">
        <v>7.1967357617678758</v>
      </c>
    </row>
    <row r="909" spans="1:10" hidden="1">
      <c r="A909" s="64">
        <v>2327</v>
      </c>
      <c r="B909" s="150">
        <v>1.86</v>
      </c>
      <c r="C909" s="159">
        <v>0.61372950819672134</v>
      </c>
      <c r="D909" s="152">
        <v>660215053.76344085</v>
      </c>
      <c r="E909" s="26">
        <f>VLOOKUP(2327,季財報!$A:$H,8,0)</f>
        <v>3</v>
      </c>
      <c r="F909" s="159">
        <v>1.9283333333333333E-2</v>
      </c>
      <c r="G909" s="152">
        <v>34001075268.817204</v>
      </c>
      <c r="H909" s="152">
        <v>27489466000</v>
      </c>
      <c r="I909" s="150">
        <v>1.2438062790848847</v>
      </c>
      <c r="J909" s="152">
        <v>11.278654388137934</v>
      </c>
    </row>
    <row r="910" spans="1:10" hidden="1">
      <c r="A910" s="64">
        <v>6195</v>
      </c>
      <c r="B910" s="52">
        <v>0.78</v>
      </c>
      <c r="C910" s="160">
        <v>0.98750000000000004</v>
      </c>
      <c r="D910" s="157">
        <v>42307692.307692304</v>
      </c>
      <c r="E910" s="26">
        <f>VLOOKUP(6195,季財報!$A:$H,8,0)</f>
        <v>0</v>
      </c>
      <c r="F910" s="160">
        <v>1.6466666666666668E-2</v>
      </c>
      <c r="G910" s="54">
        <v>2011730769.2307689</v>
      </c>
      <c r="H910" s="54">
        <v>1608532000</v>
      </c>
      <c r="I910" s="65">
        <v>1.2493468427604379</v>
      </c>
      <c r="J910" s="162">
        <v>15.433300876338848</v>
      </c>
    </row>
    <row r="911" spans="1:10" hidden="1">
      <c r="A911" s="64">
        <v>8147</v>
      </c>
      <c r="B911" s="52">
        <v>0.86</v>
      </c>
      <c r="C911" s="160">
        <v>0.62857142857142856</v>
      </c>
      <c r="D911" s="157">
        <v>22093023.255813953</v>
      </c>
      <c r="E911" s="26">
        <f>VLOOKUP(8147,季財報!$A:$H,8,0)</f>
        <v>2</v>
      </c>
      <c r="F911" s="160">
        <v>5.2716666666666689E-2</v>
      </c>
      <c r="G911" s="54">
        <v>985348837.20930231</v>
      </c>
      <c r="H911" s="54">
        <v>789057000</v>
      </c>
      <c r="I911" s="65">
        <v>1.2556293282649806</v>
      </c>
      <c r="J911" s="162">
        <v>20.626321353065538</v>
      </c>
    </row>
    <row r="912" spans="1:10" hidden="1">
      <c r="A912" s="64">
        <v>1614</v>
      </c>
      <c r="B912" s="150">
        <v>0.32</v>
      </c>
      <c r="C912" s="159">
        <v>0.94791666666666663</v>
      </c>
      <c r="D912" s="152">
        <v>256250000</v>
      </c>
      <c r="E912" s="26">
        <f>VLOOKUP(1614,季財報!$A:$H,8,0)</f>
        <v>2</v>
      </c>
      <c r="F912" s="159">
        <v>3.7816666666666665E-2</v>
      </c>
      <c r="G912" s="152">
        <v>6406250000</v>
      </c>
      <c r="H912" s="152">
        <v>5097291000</v>
      </c>
      <c r="I912" s="150">
        <v>1.2600424770768155</v>
      </c>
      <c r="J912" s="152">
        <v>20.604395604395602</v>
      </c>
    </row>
    <row r="913" spans="1:11" hidden="1">
      <c r="A913" s="64">
        <v>8011</v>
      </c>
      <c r="B913" s="52">
        <v>-0.59</v>
      </c>
      <c r="C913" s="160">
        <v>1</v>
      </c>
      <c r="D913" s="157">
        <v>101694915.25423729</v>
      </c>
      <c r="E913" s="26">
        <f>VLOOKUP(8011,季財報!$A:$H,8,0)</f>
        <v>1</v>
      </c>
      <c r="F913" s="160">
        <v>2.5866666666666659E-2</v>
      </c>
      <c r="G913" s="54">
        <v>1932203389.8305087</v>
      </c>
      <c r="H913" s="54">
        <v>1551242000</v>
      </c>
      <c r="I913" s="65">
        <v>1.2604313129614466</v>
      </c>
      <c r="J913" s="162">
        <v>0</v>
      </c>
    </row>
    <row r="914" spans="1:11" hidden="1">
      <c r="A914" s="64">
        <v>2497</v>
      </c>
      <c r="B914" s="150">
        <v>0.64</v>
      </c>
      <c r="C914" s="159">
        <v>0.55932203389830504</v>
      </c>
      <c r="D914" s="152">
        <v>118750000</v>
      </c>
      <c r="E914" s="26">
        <f>VLOOKUP(2497,季財報!$A:$H,8,0)</f>
        <v>1</v>
      </c>
      <c r="F914" s="159">
        <v>-1.5666666666666666E-2</v>
      </c>
      <c r="G914" s="152">
        <v>4370000000</v>
      </c>
      <c r="H914" s="152">
        <v>3364855000</v>
      </c>
      <c r="I914" s="150">
        <v>1.2662339449793825</v>
      </c>
      <c r="J914" s="152">
        <v>25.700757575757578</v>
      </c>
      <c r="K914" s="32"/>
    </row>
    <row r="915" spans="1:11" hidden="1">
      <c r="A915" s="64">
        <v>6179</v>
      </c>
      <c r="B915" s="52">
        <v>0.72</v>
      </c>
      <c r="C915" s="160">
        <v>0.98780487804878048</v>
      </c>
      <c r="D915" s="157">
        <v>50000000</v>
      </c>
      <c r="E915" s="26">
        <f>VLOOKUP(6179,季財報!$A:$H,8,0)</f>
        <v>1</v>
      </c>
      <c r="F915" s="160">
        <v>2.721666666666667E-2</v>
      </c>
      <c r="G915" s="54">
        <v>1780000000</v>
      </c>
      <c r="H915" s="54">
        <v>1370296000</v>
      </c>
      <c r="I915" s="65">
        <v>1.2690581520944806</v>
      </c>
      <c r="J915" s="162">
        <v>12.513717421124829</v>
      </c>
    </row>
    <row r="916" spans="1:11" hidden="1">
      <c r="A916" s="64">
        <v>1338</v>
      </c>
      <c r="B916" s="150">
        <v>2.14</v>
      </c>
      <c r="C916" s="159">
        <v>0.89729729729729735</v>
      </c>
      <c r="D916" s="152">
        <v>83644859.813084111</v>
      </c>
      <c r="E916" s="26">
        <f>VLOOKUP(1338,季財報!$A:$H,8,0)</f>
        <v>2</v>
      </c>
      <c r="F916" s="159">
        <v>2.2858333333333328E-2</v>
      </c>
      <c r="G916" s="152">
        <v>10455607476.635513</v>
      </c>
      <c r="H916" s="152">
        <v>8222876000</v>
      </c>
      <c r="I916" s="150">
        <v>1.2702875769612882</v>
      </c>
      <c r="J916" s="152">
        <v>16.274208985474608</v>
      </c>
    </row>
    <row r="917" spans="1:11" hidden="1">
      <c r="A917" s="64">
        <v>2338</v>
      </c>
      <c r="B917" s="150">
        <v>0.15</v>
      </c>
      <c r="C917" s="159">
        <v>0.38095238095238093</v>
      </c>
      <c r="D917" s="152">
        <v>240000000</v>
      </c>
      <c r="E917" s="26">
        <f>VLOOKUP(2338,季財報!$A:$H,8,0)</f>
        <v>3</v>
      </c>
      <c r="F917" s="159">
        <v>4.3775000000000015E-2</v>
      </c>
      <c r="G917" s="152">
        <v>1922400000</v>
      </c>
      <c r="H917" s="152">
        <v>1497165000</v>
      </c>
      <c r="I917" s="150">
        <v>1.2707965350566386</v>
      </c>
      <c r="J917" s="152">
        <v>35.043750000000003</v>
      </c>
    </row>
    <row r="918" spans="1:11" hidden="1">
      <c r="A918" s="64">
        <v>2207</v>
      </c>
      <c r="B918" s="150">
        <v>4.05</v>
      </c>
      <c r="C918" s="159">
        <v>0.56524493243243246</v>
      </c>
      <c r="D918" s="152">
        <v>545925925.92592597</v>
      </c>
      <c r="E918" s="26">
        <f>VLOOKUP(2207,季財報!$A:$H,8,0)</f>
        <v>2</v>
      </c>
      <c r="F918" s="159">
        <v>4.0650000000000006E-2</v>
      </c>
      <c r="G918" s="152">
        <v>205268148148.14816</v>
      </c>
      <c r="H918" s="152">
        <v>161990400000</v>
      </c>
      <c r="I918" s="150">
        <v>1.2719167077711828</v>
      </c>
      <c r="J918" s="152">
        <v>41.061626936362337</v>
      </c>
    </row>
    <row r="919" spans="1:11" hidden="1">
      <c r="A919" s="64">
        <v>1580</v>
      </c>
      <c r="B919" s="150">
        <v>2.78</v>
      </c>
      <c r="C919" s="159">
        <v>1</v>
      </c>
      <c r="D919" s="152">
        <v>48561151.079136692</v>
      </c>
      <c r="E919" s="26">
        <f>VLOOKUP(1580,季財報!$A:$H,8,0)</f>
        <v>1</v>
      </c>
      <c r="F919" s="159">
        <v>8.0124999999999988E-2</v>
      </c>
      <c r="G919" s="152">
        <v>5268884892.0863314</v>
      </c>
      <c r="H919" s="152">
        <v>4145729000</v>
      </c>
      <c r="I919" s="150">
        <v>1.273577012384189</v>
      </c>
      <c r="J919" s="152">
        <v>9.7571942446043174</v>
      </c>
    </row>
    <row r="920" spans="1:11" hidden="1">
      <c r="A920" s="64">
        <v>3066</v>
      </c>
      <c r="B920" s="150">
        <v>-0.37</v>
      </c>
      <c r="C920" s="159">
        <v>1</v>
      </c>
      <c r="D920" s="152">
        <v>83783783.783783779</v>
      </c>
      <c r="E920" s="26">
        <f>VLOOKUP(3066,季財報!$A:$H,8,0)</f>
        <v>1</v>
      </c>
      <c r="F920" s="159">
        <v>3.7899999999999996E-2</v>
      </c>
      <c r="G920" s="152">
        <v>670270270.27027023</v>
      </c>
      <c r="H920" s="152">
        <v>515976000</v>
      </c>
      <c r="I920" s="150">
        <v>1.2740625070478004</v>
      </c>
      <c r="J920" s="152">
        <v>0</v>
      </c>
    </row>
    <row r="921" spans="1:11" hidden="1">
      <c r="A921" s="64">
        <v>6174</v>
      </c>
      <c r="B921" s="52">
        <v>0.32</v>
      </c>
      <c r="C921" s="160">
        <v>0.87878787878787878</v>
      </c>
      <c r="D921" s="157">
        <v>50000000</v>
      </c>
      <c r="E921" s="26">
        <f>VLOOKUP(6174,季財報!$A:$H,8,0)</f>
        <v>4</v>
      </c>
      <c r="F921" s="160">
        <v>2.4191666666666663E-2</v>
      </c>
      <c r="G921" s="54">
        <v>690000000</v>
      </c>
      <c r="H921" s="54">
        <v>541485000</v>
      </c>
      <c r="I921" s="65">
        <v>1.2749539907907672</v>
      </c>
      <c r="J921" s="162">
        <v>12.268318965517244</v>
      </c>
    </row>
    <row r="922" spans="1:11" hidden="1">
      <c r="A922" s="64">
        <v>6231</v>
      </c>
      <c r="B922" s="52">
        <v>0.12</v>
      </c>
      <c r="C922" s="160">
        <v>0.43333333333333335</v>
      </c>
      <c r="D922" s="157">
        <v>41666666.666666672</v>
      </c>
      <c r="E922" s="26">
        <f>VLOOKUP(6231,季財報!$A:$H,8,0)</f>
        <v>2</v>
      </c>
      <c r="F922" s="160">
        <v>5.8508333333333336E-2</v>
      </c>
      <c r="G922" s="54">
        <v>1068750000.0000001</v>
      </c>
      <c r="H922" s="54">
        <v>824723000</v>
      </c>
      <c r="I922" s="65">
        <v>1.2777854826830926</v>
      </c>
      <c r="J922" s="162">
        <v>50</v>
      </c>
    </row>
    <row r="923" spans="1:11" hidden="1">
      <c r="A923" s="64">
        <v>3545</v>
      </c>
      <c r="B923" s="150">
        <v>0.49</v>
      </c>
      <c r="C923" s="159">
        <v>3.8022813688212928E-3</v>
      </c>
      <c r="D923" s="152">
        <v>408163265.30612248</v>
      </c>
      <c r="E923" s="26">
        <f>VLOOKUP(3545,季財報!$A:$H,8,0)</f>
        <v>3</v>
      </c>
      <c r="F923" s="159">
        <v>0.18265000000000001</v>
      </c>
      <c r="G923" s="152">
        <v>13897959183.67347</v>
      </c>
      <c r="H923" s="152">
        <v>11197695000</v>
      </c>
      <c r="I923" s="150">
        <v>1.2857597007860078</v>
      </c>
      <c r="J923" s="152">
        <v>50</v>
      </c>
    </row>
    <row r="924" spans="1:11" hidden="1">
      <c r="A924" s="64">
        <v>3189</v>
      </c>
      <c r="B924" s="150">
        <v>1.73</v>
      </c>
      <c r="C924" s="159">
        <v>0.95116618075801751</v>
      </c>
      <c r="D924" s="152">
        <v>445664739.8843931</v>
      </c>
      <c r="E924" s="26">
        <f>VLOOKUP(3189,季財報!$A:$H,8,0)</f>
        <v>2</v>
      </c>
      <c r="F924" s="159">
        <v>2.5524999999999996E-2</v>
      </c>
      <c r="G924" s="152">
        <v>28968208092.48555</v>
      </c>
      <c r="H924" s="152">
        <v>22854298000</v>
      </c>
      <c r="I924" s="150">
        <v>1.2877754804155574</v>
      </c>
      <c r="J924" s="152">
        <v>9.8753128252829274</v>
      </c>
    </row>
    <row r="925" spans="1:11" hidden="1">
      <c r="A925" s="64">
        <v>8074</v>
      </c>
      <c r="B925" s="52">
        <v>0.76</v>
      </c>
      <c r="C925" s="160">
        <v>0.83132530120481929</v>
      </c>
      <c r="D925" s="157">
        <v>63157894.736842103</v>
      </c>
      <c r="E925" s="26">
        <f>VLOOKUP(8074,季財報!$A:$H,8,0)</f>
        <v>4</v>
      </c>
      <c r="F925" s="160">
        <v>1.0358333333333332E-2</v>
      </c>
      <c r="G925" s="54">
        <v>1528421052.6315789</v>
      </c>
      <c r="H925" s="54">
        <v>1192392000</v>
      </c>
      <c r="I925" s="65">
        <v>1.2895934956172472</v>
      </c>
      <c r="J925" s="162">
        <v>9.5757055682684964</v>
      </c>
    </row>
    <row r="926" spans="1:11" hidden="1">
      <c r="A926" s="64">
        <v>2634</v>
      </c>
      <c r="B926" s="150">
        <v>0.87</v>
      </c>
      <c r="C926" s="159">
        <v>0.7167070217917676</v>
      </c>
      <c r="D926" s="152">
        <v>912643678.16091955</v>
      </c>
      <c r="E926" s="26">
        <f>VLOOKUP(2634,季財報!$A:$H,8,0)</f>
        <v>3</v>
      </c>
      <c r="F926" s="159">
        <v>3.8624999999999993E-2</v>
      </c>
      <c r="G926" s="152">
        <v>36140689655.172417</v>
      </c>
      <c r="H926" s="152">
        <v>27928242000</v>
      </c>
      <c r="I926" s="150">
        <v>1.2898016450393144</v>
      </c>
      <c r="J926" s="152">
        <v>15.877213420316869</v>
      </c>
    </row>
    <row r="927" spans="1:11" hidden="1">
      <c r="A927" s="64">
        <v>1540</v>
      </c>
      <c r="B927" s="155">
        <v>0.44</v>
      </c>
      <c r="C927" s="159">
        <v>0.27906976744186046</v>
      </c>
      <c r="D927" s="156">
        <v>79545454.545454547</v>
      </c>
      <c r="E927" s="26">
        <f>VLOOKUP(1540,季財報!$A:$H,8,0)</f>
        <v>1</v>
      </c>
      <c r="F927" s="159">
        <v>-6.7758333333333323E-2</v>
      </c>
      <c r="G927" s="156">
        <v>1256818181.818182</v>
      </c>
      <c r="H927" s="156">
        <v>901547000</v>
      </c>
      <c r="I927" s="155">
        <v>1.2948371914330388</v>
      </c>
      <c r="J927" s="156">
        <v>32.168560606060609</v>
      </c>
    </row>
    <row r="928" spans="1:11" hidden="1">
      <c r="A928" s="64">
        <v>3455</v>
      </c>
      <c r="B928" s="150">
        <v>1.32</v>
      </c>
      <c r="C928" s="159">
        <v>0.56000000000000005</v>
      </c>
      <c r="D928" s="152">
        <v>61363636.36363636</v>
      </c>
      <c r="E928" s="26">
        <f>VLOOKUP(3455,季財報!$A:$H,8,0)</f>
        <v>2</v>
      </c>
      <c r="F928" s="159">
        <v>3.2458333333333346E-2</v>
      </c>
      <c r="G928" s="152">
        <v>1718181818.181818</v>
      </c>
      <c r="H928" s="152">
        <v>1281284000</v>
      </c>
      <c r="I928" s="150">
        <v>1.29617067975511</v>
      </c>
      <c r="J928" s="152">
        <v>9.4696969696969688</v>
      </c>
    </row>
    <row r="929" spans="1:11" hidden="1">
      <c r="A929" s="64">
        <v>1731</v>
      </c>
      <c r="B929" s="150">
        <v>0.11</v>
      </c>
      <c r="C929" s="159">
        <v>1</v>
      </c>
      <c r="D929" s="152">
        <v>127272727.27272727</v>
      </c>
      <c r="E929" s="26">
        <f>VLOOKUP(1731,季財報!$A:$H,8,0)</f>
        <v>2</v>
      </c>
      <c r="F929" s="159">
        <v>2.4558333333333331E-2</v>
      </c>
      <c r="G929" s="152">
        <v>1743636363.6363635</v>
      </c>
      <c r="H929" s="152">
        <v>1358032000</v>
      </c>
      <c r="I929" s="150">
        <v>1.2976246162772462</v>
      </c>
      <c r="J929" s="152">
        <v>31.136363636363633</v>
      </c>
    </row>
    <row r="930" spans="1:11" hidden="1">
      <c r="A930" s="64">
        <v>6204</v>
      </c>
      <c r="B930" s="52">
        <v>0.5</v>
      </c>
      <c r="C930" s="160">
        <v>0.41176470588235292</v>
      </c>
      <c r="D930" s="157">
        <v>36000000</v>
      </c>
      <c r="E930" s="26">
        <f>VLOOKUP(6204,季財報!$A:$H,8,0)</f>
        <v>2</v>
      </c>
      <c r="F930" s="160">
        <v>1.9E-2</v>
      </c>
      <c r="G930" s="54">
        <v>788400000</v>
      </c>
      <c r="H930" s="54">
        <v>600434000</v>
      </c>
      <c r="I930" s="65">
        <v>1.2987718994786133</v>
      </c>
      <c r="J930" s="162">
        <v>26.592857142857142</v>
      </c>
    </row>
    <row r="931" spans="1:11" hidden="1">
      <c r="A931" s="64">
        <v>1102</v>
      </c>
      <c r="B931" s="150">
        <v>0.02</v>
      </c>
      <c r="C931" s="159">
        <v>0.38469353200135453</v>
      </c>
      <c r="D931" s="152">
        <v>3200000000</v>
      </c>
      <c r="E931" s="26">
        <f>VLOOKUP(1102,季財報!$A:$H,8,0)</f>
        <v>1</v>
      </c>
      <c r="F931" s="159">
        <v>1.7275000000000009E-2</v>
      </c>
      <c r="G931" s="152">
        <v>89600000000</v>
      </c>
      <c r="H931" s="152">
        <v>67785849000</v>
      </c>
      <c r="I931" s="150">
        <v>1.3034940084155959</v>
      </c>
      <c r="J931" s="152">
        <v>50</v>
      </c>
    </row>
    <row r="932" spans="1:11" hidden="1">
      <c r="A932" s="64">
        <v>3232</v>
      </c>
      <c r="B932" s="150">
        <v>-0.08</v>
      </c>
      <c r="C932" s="159">
        <v>0.5</v>
      </c>
      <c r="D932" s="152">
        <v>37500000</v>
      </c>
      <c r="E932" s="26">
        <f>VLOOKUP(3232,季財報!$A:$H,8,0)</f>
        <v>1</v>
      </c>
      <c r="F932" s="159">
        <v>-4.0833333333333251E-3</v>
      </c>
      <c r="G932" s="152">
        <v>984375000</v>
      </c>
      <c r="H932" s="152">
        <v>738735000</v>
      </c>
      <c r="I932" s="150">
        <v>1.3036732628946943</v>
      </c>
      <c r="J932" s="152">
        <v>0</v>
      </c>
      <c r="K932" s="32"/>
    </row>
    <row r="933" spans="1:11" hidden="1">
      <c r="A933" s="64">
        <v>6239</v>
      </c>
      <c r="B933" s="52">
        <v>1.42</v>
      </c>
      <c r="C933" s="160">
        <v>0.9273356401384083</v>
      </c>
      <c r="D933" s="157">
        <v>771830985.91549301</v>
      </c>
      <c r="E933" s="26">
        <f>VLOOKUP(6239,季財報!$A:$H,8,0)</f>
        <v>4</v>
      </c>
      <c r="F933" s="160">
        <v>2.186666666666667E-2</v>
      </c>
      <c r="G933" s="54">
        <v>53256338028.169022</v>
      </c>
      <c r="H933" s="54">
        <v>41731597000</v>
      </c>
      <c r="I933" s="65">
        <v>1.3046126526627067</v>
      </c>
      <c r="J933" s="162">
        <v>13.099774017237756</v>
      </c>
    </row>
    <row r="934" spans="1:11" hidden="1">
      <c r="A934" s="64">
        <v>1710</v>
      </c>
      <c r="B934" s="150">
        <v>-0.27</v>
      </c>
      <c r="C934" s="159">
        <v>1</v>
      </c>
      <c r="D934" s="152">
        <v>870370370.37037027</v>
      </c>
      <c r="E934" s="26">
        <f>VLOOKUP(1710,季財報!$A:$H,8,0)</f>
        <v>0</v>
      </c>
      <c r="F934" s="159">
        <v>1.7575000000000007E-2</v>
      </c>
      <c r="G934" s="152">
        <v>18495370370.370369</v>
      </c>
      <c r="H934" s="152">
        <v>13953531000</v>
      </c>
      <c r="I934" s="150">
        <v>1.3099565162901903</v>
      </c>
      <c r="J934" s="152">
        <v>0</v>
      </c>
    </row>
    <row r="935" spans="1:11" hidden="1">
      <c r="A935" s="64">
        <v>5703</v>
      </c>
      <c r="B935" s="52">
        <v>0.08</v>
      </c>
      <c r="C935" s="160">
        <v>1</v>
      </c>
      <c r="D935" s="157">
        <v>62500000</v>
      </c>
      <c r="E935" s="26">
        <f>VLOOKUP(5703,季財報!$A:$H,8,0)</f>
        <v>1</v>
      </c>
      <c r="F935" s="160">
        <v>7.4999999999999262E-5</v>
      </c>
      <c r="G935" s="54">
        <v>1362500000</v>
      </c>
      <c r="H935" s="54">
        <v>1028020000</v>
      </c>
      <c r="I935" s="65">
        <v>1.3199168428170367</v>
      </c>
      <c r="J935" s="162">
        <v>50</v>
      </c>
    </row>
    <row r="936" spans="1:11" hidden="1">
      <c r="A936" s="64">
        <v>1307</v>
      </c>
      <c r="B936" s="150">
        <v>0.87</v>
      </c>
      <c r="C936" s="159">
        <v>0.9027027027027027</v>
      </c>
      <c r="D936" s="152">
        <v>385057471.26436782</v>
      </c>
      <c r="E936" s="26">
        <f>VLOOKUP(1307,季財報!$A:$H,8,0)</f>
        <v>5</v>
      </c>
      <c r="F936" s="159">
        <v>1.9158333333333336E-2</v>
      </c>
      <c r="G936" s="152">
        <v>14940229885.05747</v>
      </c>
      <c r="H936" s="152">
        <v>11315262000</v>
      </c>
      <c r="I936" s="150">
        <v>1.3204066759103259</v>
      </c>
      <c r="J936" s="152">
        <v>12.351159749466582</v>
      </c>
    </row>
    <row r="937" spans="1:11" hidden="1">
      <c r="A937" s="64">
        <v>9921</v>
      </c>
      <c r="B937" s="52">
        <v>3.24</v>
      </c>
      <c r="C937" s="160">
        <v>0.89853658536585368</v>
      </c>
      <c r="D937" s="157">
        <v>374691358.02469134</v>
      </c>
      <c r="E937" s="26">
        <f>VLOOKUP(9921,季財報!$A:$H,8,0)</f>
        <v>3</v>
      </c>
      <c r="F937" s="160">
        <v>-3.7500000000000266E-4</v>
      </c>
      <c r="G937" s="54">
        <v>81120679012.345673</v>
      </c>
      <c r="H937" s="54">
        <v>60718971000</v>
      </c>
      <c r="I937" s="65">
        <v>1.3243174118748693</v>
      </c>
      <c r="J937" s="162">
        <v>18.591615729011675</v>
      </c>
    </row>
    <row r="938" spans="1:11" hidden="1">
      <c r="A938" s="64">
        <v>2106</v>
      </c>
      <c r="B938" s="150">
        <v>1.48</v>
      </c>
      <c r="C938" s="159">
        <v>0.76690307328605201</v>
      </c>
      <c r="D938" s="152">
        <v>858783783.78378379</v>
      </c>
      <c r="E938" s="26">
        <f>VLOOKUP(2106,季財報!$A:$H,8,0)</f>
        <v>3</v>
      </c>
      <c r="F938" s="159">
        <v>9.0000000000000011E-3</v>
      </c>
      <c r="G938" s="152">
        <v>42080405405.405403</v>
      </c>
      <c r="H938" s="152">
        <v>31569686000</v>
      </c>
      <c r="I938" s="150">
        <v>1.3245458392445366</v>
      </c>
      <c r="J938" s="152">
        <v>10.792794181357683</v>
      </c>
    </row>
    <row r="939" spans="1:11" hidden="1">
      <c r="A939" s="64">
        <v>2379</v>
      </c>
      <c r="B939" s="150">
        <v>1.19</v>
      </c>
      <c r="C939" s="159">
        <v>0.44559585492227977</v>
      </c>
      <c r="D939" s="152">
        <v>504201680.67226893</v>
      </c>
      <c r="E939" s="26">
        <f>VLOOKUP(2379,季財報!$A:$H,8,0)</f>
        <v>2</v>
      </c>
      <c r="F939" s="159">
        <v>3.1775000000000005E-2</v>
      </c>
      <c r="G939" s="152">
        <v>40487394957.983192</v>
      </c>
      <c r="H939" s="152">
        <v>31343215000</v>
      </c>
      <c r="I939" s="150">
        <v>1.3253657964415253</v>
      </c>
      <c r="J939" s="152">
        <v>37.858852843462969</v>
      </c>
    </row>
    <row r="940" spans="1:11" hidden="1">
      <c r="A940" s="64">
        <v>8429</v>
      </c>
      <c r="B940" s="52">
        <v>1.78</v>
      </c>
      <c r="C940" s="160">
        <v>1</v>
      </c>
      <c r="D940" s="157">
        <v>129213483.14606741</v>
      </c>
      <c r="E940" s="26">
        <f>VLOOKUP(8429,季財報!$A:$H,8,0)</f>
        <v>1</v>
      </c>
      <c r="F940" s="160">
        <v>4.2741666666666671E-2</v>
      </c>
      <c r="G940" s="54">
        <v>7623595505.6179771</v>
      </c>
      <c r="H940" s="54">
        <v>5773393000</v>
      </c>
      <c r="I940" s="65">
        <v>1.3267799801560645</v>
      </c>
      <c r="J940" s="162">
        <v>8.286516853932584</v>
      </c>
    </row>
    <row r="941" spans="1:11" hidden="1">
      <c r="A941" s="64">
        <v>3049</v>
      </c>
      <c r="B941" s="150">
        <v>0.24</v>
      </c>
      <c r="C941" s="159">
        <v>1</v>
      </c>
      <c r="D941" s="152">
        <v>762500000</v>
      </c>
      <c r="E941" s="26">
        <f>VLOOKUP(3049,季財報!$A:$H,8,0)</f>
        <v>5</v>
      </c>
      <c r="F941" s="159">
        <v>5.6666666666666679E-3</v>
      </c>
      <c r="G941" s="152">
        <v>5756875000</v>
      </c>
      <c r="H941" s="152">
        <v>4196648000</v>
      </c>
      <c r="I941" s="150">
        <v>1.3272435271553651</v>
      </c>
      <c r="J941" s="152">
        <v>7.864583333333333</v>
      </c>
    </row>
    <row r="942" spans="1:11" hidden="1">
      <c r="A942" s="64">
        <v>3588</v>
      </c>
      <c r="B942" s="150">
        <v>0.77</v>
      </c>
      <c r="C942" s="159">
        <v>0.63157894736842102</v>
      </c>
      <c r="D942" s="152">
        <v>45454545.454545453</v>
      </c>
      <c r="E942" s="26">
        <f>VLOOKUP(3588,季財報!$A:$H,8,0)</f>
        <v>3</v>
      </c>
      <c r="F942" s="159">
        <v>4.000000000000001E-3</v>
      </c>
      <c r="G942" s="152">
        <v>1379545454.5454545</v>
      </c>
      <c r="H942" s="152">
        <v>1030493000</v>
      </c>
      <c r="I942" s="150">
        <v>1.3386847790349701</v>
      </c>
      <c r="J942" s="152">
        <v>15.602002164502165</v>
      </c>
    </row>
    <row r="943" spans="1:11" hidden="1">
      <c r="A943" s="64">
        <v>1788</v>
      </c>
      <c r="B943" s="150">
        <v>1.39</v>
      </c>
      <c r="C943" s="159">
        <v>0.97979797979797978</v>
      </c>
      <c r="D943" s="152">
        <v>35251798.56115108</v>
      </c>
      <c r="E943" s="26">
        <f>VLOOKUP(1788,季財報!$A:$H,8,0)</f>
        <v>1</v>
      </c>
      <c r="F943" s="159">
        <v>1.2908333333333332E-2</v>
      </c>
      <c r="G943" s="152">
        <v>3630935251.7985611</v>
      </c>
      <c r="H943" s="152">
        <v>2722656000</v>
      </c>
      <c r="I943" s="150">
        <v>1.3402053462259724</v>
      </c>
      <c r="J943" s="152">
        <v>18.907142327375215</v>
      </c>
    </row>
    <row r="944" spans="1:11" hidden="1">
      <c r="A944" s="64">
        <v>8050</v>
      </c>
      <c r="B944" s="52">
        <v>1.4</v>
      </c>
      <c r="C944" s="160">
        <v>0.8046511627906977</v>
      </c>
      <c r="D944" s="157">
        <v>110000000</v>
      </c>
      <c r="E944" s="26">
        <f>VLOOKUP(8050,季財報!$A:$H,8,0)</f>
        <v>2</v>
      </c>
      <c r="F944" s="160">
        <v>4.7750000000000032E-3</v>
      </c>
      <c r="G944" s="54">
        <v>5654000000</v>
      </c>
      <c r="H944" s="54">
        <v>4201879000</v>
      </c>
      <c r="I944" s="65">
        <v>1.3412762953256023</v>
      </c>
      <c r="J944" s="162">
        <v>11.406895127993394</v>
      </c>
    </row>
    <row r="945" spans="1:10" hidden="1">
      <c r="A945" s="64">
        <v>5264</v>
      </c>
      <c r="B945" s="52">
        <v>4.75</v>
      </c>
      <c r="C945" s="160">
        <v>0.64749319860085508</v>
      </c>
      <c r="D945" s="157">
        <v>339789473.68421054</v>
      </c>
      <c r="E945" s="26">
        <f>VLOOKUP(5264,季財報!$A:$H,8,0)</f>
        <v>3</v>
      </c>
      <c r="F945" s="160">
        <v>3.505833333333333E-2</v>
      </c>
      <c r="G945" s="54">
        <v>51308210526.315788</v>
      </c>
      <c r="H945" s="54">
        <v>38446692000</v>
      </c>
      <c r="I945" s="65">
        <v>1.3442554256737005</v>
      </c>
      <c r="J945" s="162">
        <v>12.274056991217538</v>
      </c>
    </row>
    <row r="946" spans="1:10" hidden="1">
      <c r="A946" s="64">
        <v>1558</v>
      </c>
      <c r="B946" s="150">
        <v>6.15</v>
      </c>
      <c r="C946" s="159">
        <v>0.70265486725663717</v>
      </c>
      <c r="D946" s="152">
        <v>60487804.878048778</v>
      </c>
      <c r="E946" s="26">
        <f>VLOOKUP(1558,季財報!$A:$H,8,0)</f>
        <v>4</v>
      </c>
      <c r="F946" s="159">
        <v>3.716666666666662E-3</v>
      </c>
      <c r="G946" s="152">
        <v>8317073170.7317066</v>
      </c>
      <c r="H946" s="152">
        <v>6090604000</v>
      </c>
      <c r="I946" s="150">
        <v>1.3455493270826924</v>
      </c>
      <c r="J946" s="152">
        <v>7.9547316254018954</v>
      </c>
    </row>
    <row r="947" spans="1:10" hidden="1">
      <c r="A947" s="64">
        <v>5278</v>
      </c>
      <c r="B947" s="52">
        <v>-1.64</v>
      </c>
      <c r="C947" s="160">
        <v>1</v>
      </c>
      <c r="D947" s="157">
        <v>12195121.951219512</v>
      </c>
      <c r="E947" s="26">
        <f>VLOOKUP(5278,季財報!$A:$H,8,0)</f>
        <v>2</v>
      </c>
      <c r="F947" s="160">
        <v>2.2874999999999993E-2</v>
      </c>
      <c r="G947" s="54">
        <v>314024390.24390244</v>
      </c>
      <c r="H947" s="54">
        <v>238507000</v>
      </c>
      <c r="I947" s="65">
        <v>1.3455497053899326</v>
      </c>
      <c r="J947" s="162">
        <v>0</v>
      </c>
    </row>
    <row r="948" spans="1:10" hidden="1">
      <c r="A948" s="64">
        <v>1817</v>
      </c>
      <c r="B948" s="150">
        <v>0.97</v>
      </c>
      <c r="C948" s="159">
        <v>0.98290598290598286</v>
      </c>
      <c r="D948" s="152">
        <v>72164948.453608245</v>
      </c>
      <c r="E948" s="26">
        <f>VLOOKUP(1817,季財報!$A:$H,8,0)</f>
        <v>3</v>
      </c>
      <c r="F948" s="159">
        <v>5.0508333333333322E-2</v>
      </c>
      <c r="G948" s="152">
        <v>2868556701.0309277</v>
      </c>
      <c r="H948" s="152">
        <v>2157467000</v>
      </c>
      <c r="I948" s="150">
        <v>1.3463091634654667</v>
      </c>
      <c r="J948" s="152">
        <v>10.423016584491259</v>
      </c>
    </row>
    <row r="949" spans="1:10" hidden="1">
      <c r="A949" s="64">
        <v>9928</v>
      </c>
      <c r="B949" s="52">
        <v>-0.4</v>
      </c>
      <c r="C949" s="160">
        <v>1</v>
      </c>
      <c r="D949" s="157">
        <v>132500000</v>
      </c>
      <c r="E949" s="26">
        <f>VLOOKUP(9928,季財報!$A:$H,8,0)</f>
        <v>2</v>
      </c>
      <c r="F949" s="160">
        <v>0.13689999999999999</v>
      </c>
      <c r="G949" s="54">
        <v>1270675000</v>
      </c>
      <c r="H949" s="54">
        <v>984992000</v>
      </c>
      <c r="I949" s="65">
        <v>1.348911889596603</v>
      </c>
      <c r="J949" s="162">
        <v>0</v>
      </c>
    </row>
    <row r="950" spans="1:10" hidden="1">
      <c r="A950" s="64">
        <v>2305</v>
      </c>
      <c r="B950" s="150">
        <v>-0.14000000000000001</v>
      </c>
      <c r="C950" s="159">
        <v>1</v>
      </c>
      <c r="D950" s="152">
        <v>207142857.14285713</v>
      </c>
      <c r="E950" s="26">
        <f>VLOOKUP(2305,季財報!$A:$H,8,0)</f>
        <v>1</v>
      </c>
      <c r="F950" s="159">
        <v>6.9283333333333336E-2</v>
      </c>
      <c r="G950" s="152">
        <v>1104071428.5714285</v>
      </c>
      <c r="H950" s="152">
        <v>809322000</v>
      </c>
      <c r="I950" s="150">
        <v>1.3490559401314861</v>
      </c>
      <c r="J950" s="152">
        <v>0</v>
      </c>
    </row>
    <row r="951" spans="1:10" hidden="1">
      <c r="A951" s="64">
        <v>3567</v>
      </c>
      <c r="B951" s="150">
        <v>0.38</v>
      </c>
      <c r="C951" s="159">
        <v>0.90909090909090906</v>
      </c>
      <c r="D951" s="152">
        <v>36842105.263157897</v>
      </c>
      <c r="E951" s="26">
        <f>VLOOKUP(3567,季財報!$A:$H,8,0)</f>
        <v>3</v>
      </c>
      <c r="F951" s="159">
        <v>5.0916666666666671E-3</v>
      </c>
      <c r="G951" s="152">
        <v>447631578.94736844</v>
      </c>
      <c r="H951" s="152">
        <v>332458000</v>
      </c>
      <c r="I951" s="150">
        <v>1.3506800566888599</v>
      </c>
      <c r="J951" s="152">
        <v>8.7927631578947363</v>
      </c>
    </row>
    <row r="952" spans="1:10" hidden="1">
      <c r="A952" s="64">
        <v>5289</v>
      </c>
      <c r="B952" s="52">
        <v>2.84</v>
      </c>
      <c r="C952" s="160">
        <v>0.86851211072664358</v>
      </c>
      <c r="D952" s="157">
        <v>61971830.985915497</v>
      </c>
      <c r="E952" s="26">
        <f>VLOOKUP(5289,季財報!$A:$H,8,0)</f>
        <v>4</v>
      </c>
      <c r="F952" s="160">
        <v>2.9999999999999988E-2</v>
      </c>
      <c r="G952" s="54">
        <v>5726197183.0985918</v>
      </c>
      <c r="H952" s="54">
        <v>4290439000</v>
      </c>
      <c r="I952" s="65">
        <v>1.3519297585234846</v>
      </c>
      <c r="J952" s="162">
        <v>9.3652151955558072</v>
      </c>
    </row>
    <row r="953" spans="1:10" hidden="1">
      <c r="A953" s="64">
        <v>1593</v>
      </c>
      <c r="B953" s="150">
        <v>1.23</v>
      </c>
      <c r="C953" s="159">
        <v>0.69767441860465118</v>
      </c>
      <c r="D953" s="152">
        <v>30081300.81300813</v>
      </c>
      <c r="E953" s="26">
        <f>VLOOKUP(1593,季財報!$A:$H,8,0)</f>
        <v>3</v>
      </c>
      <c r="F953" s="159">
        <v>5.2391666666666663E-2</v>
      </c>
      <c r="G953" s="152">
        <v>1161138211.3821139</v>
      </c>
      <c r="H953" s="152">
        <v>859107000</v>
      </c>
      <c r="I953" s="150">
        <v>1.3527671471452716</v>
      </c>
      <c r="J953" s="152">
        <v>11.245257452574526</v>
      </c>
    </row>
    <row r="954" spans="1:10" hidden="1">
      <c r="A954" s="64">
        <v>3494</v>
      </c>
      <c r="B954" s="150">
        <v>-0.12</v>
      </c>
      <c r="C954" s="159">
        <v>0.75</v>
      </c>
      <c r="D954" s="152">
        <v>183333333.33333334</v>
      </c>
      <c r="E954" s="26">
        <f>VLOOKUP(3494,季財報!$A:$H,8,0)</f>
        <v>0</v>
      </c>
      <c r="F954" s="159">
        <v>1.9683333333333334E-2</v>
      </c>
      <c r="G954" s="152">
        <v>2429166666.666667</v>
      </c>
      <c r="H954" s="152">
        <v>1771433000</v>
      </c>
      <c r="I954" s="150">
        <v>1.3560740674164664</v>
      </c>
      <c r="J954" s="152">
        <v>0</v>
      </c>
    </row>
    <row r="955" spans="1:10" hidden="1">
      <c r="A955" s="64">
        <v>8299</v>
      </c>
      <c r="B955" s="52">
        <v>6</v>
      </c>
      <c r="C955" s="160">
        <v>0.88846520495710202</v>
      </c>
      <c r="D955" s="157">
        <v>197333333.33333334</v>
      </c>
      <c r="E955" s="26">
        <f>VLOOKUP(8299,季財報!$A:$H,8,0)</f>
        <v>4</v>
      </c>
      <c r="F955" s="160">
        <v>1.5233333333333337E-2</v>
      </c>
      <c r="G955" s="54">
        <v>49728000000</v>
      </c>
      <c r="H955" s="54">
        <v>36949982000</v>
      </c>
      <c r="I955" s="65">
        <v>1.3573961425306349</v>
      </c>
      <c r="J955" s="162">
        <v>11.818133047210301</v>
      </c>
    </row>
    <row r="956" spans="1:10" hidden="1">
      <c r="A956" s="64">
        <v>2483</v>
      </c>
      <c r="B956" s="150">
        <v>0.61</v>
      </c>
      <c r="C956" s="159">
        <v>0.21768707482993196</v>
      </c>
      <c r="D956" s="152">
        <v>111475409.83606558</v>
      </c>
      <c r="E956" s="26">
        <f>VLOOKUP(2483,季財報!$A:$H,8,0)</f>
        <v>2</v>
      </c>
      <c r="F956" s="159">
        <v>2.5758333333333341E-2</v>
      </c>
      <c r="G956" s="152">
        <v>2095737704.9180329</v>
      </c>
      <c r="H956" s="152">
        <v>1559990000</v>
      </c>
      <c r="I956" s="150">
        <v>1.3585652539221054</v>
      </c>
      <c r="J956" s="152">
        <v>35.394467213114758</v>
      </c>
    </row>
    <row r="957" spans="1:10" hidden="1">
      <c r="A957" s="64">
        <v>1584</v>
      </c>
      <c r="B957" s="150">
        <v>-0.24</v>
      </c>
      <c r="C957" s="159">
        <v>1</v>
      </c>
      <c r="D957" s="152">
        <v>104166666.66666667</v>
      </c>
      <c r="E957" s="26">
        <f>VLOOKUP(1584,季財報!$A:$H,8,0)</f>
        <v>1</v>
      </c>
      <c r="F957" s="159">
        <v>-1.2250000000000015E-3</v>
      </c>
      <c r="G957" s="152">
        <v>1432291666.6666667</v>
      </c>
      <c r="H957" s="152">
        <v>1022864000</v>
      </c>
      <c r="I957" s="150">
        <v>1.3649894946437615</v>
      </c>
      <c r="J957" s="152">
        <v>0</v>
      </c>
    </row>
    <row r="958" spans="1:10" hidden="1">
      <c r="A958" s="64">
        <v>8454</v>
      </c>
      <c r="B958" s="52">
        <v>1.82</v>
      </c>
      <c r="C958" s="160">
        <v>0.80492424242424243</v>
      </c>
      <c r="D958" s="157">
        <v>142307692.30769229</v>
      </c>
      <c r="E958" s="26">
        <f>VLOOKUP(8454,季財報!$A:$H,8,0)</f>
        <v>2</v>
      </c>
      <c r="F958" s="160">
        <v>7.0499999999999998E-3</v>
      </c>
      <c r="G958" s="54">
        <v>34509615384.615379</v>
      </c>
      <c r="H958" s="54">
        <v>25379826000</v>
      </c>
      <c r="I958" s="65">
        <v>1.3673940979750328</v>
      </c>
      <c r="J958" s="162">
        <v>41.383322559793143</v>
      </c>
    </row>
    <row r="959" spans="1:10" hidden="1">
      <c r="A959" s="64">
        <v>2428</v>
      </c>
      <c r="B959" s="150">
        <v>2.11</v>
      </c>
      <c r="C959" s="159">
        <v>0.74689826302729534</v>
      </c>
      <c r="D959" s="152">
        <v>127488151.65876777</v>
      </c>
      <c r="E959" s="26">
        <f>VLOOKUP(2428,季財報!$A:$H,8,0)</f>
        <v>3</v>
      </c>
      <c r="F959" s="159">
        <v>2.1774999999999999E-2</v>
      </c>
      <c r="G959" s="152">
        <v>6897109004.739337</v>
      </c>
      <c r="H959" s="152">
        <v>5090492000</v>
      </c>
      <c r="I959" s="150">
        <v>1.3684835122345764</v>
      </c>
      <c r="J959" s="152">
        <v>8.5820960148635681</v>
      </c>
    </row>
    <row r="960" spans="1:10" hidden="1">
      <c r="A960" s="64">
        <v>4908</v>
      </c>
      <c r="B960" s="52">
        <v>0.3</v>
      </c>
      <c r="C960" s="160">
        <v>0.56666666666666665</v>
      </c>
      <c r="D960" s="157">
        <v>76666666.666666672</v>
      </c>
      <c r="E960" s="26">
        <f>VLOOKUP(4908,季財報!$A:$H,8,0)</f>
        <v>3</v>
      </c>
      <c r="F960" s="160">
        <v>2.0341666666666664E-2</v>
      </c>
      <c r="G960" s="54">
        <v>1410666666.6666667</v>
      </c>
      <c r="H960" s="54">
        <v>1040858000</v>
      </c>
      <c r="I960" s="65">
        <v>1.3695593429869144</v>
      </c>
      <c r="J960" s="162">
        <v>27.058823529411764</v>
      </c>
    </row>
    <row r="961" spans="1:10" hidden="1">
      <c r="A961" s="64">
        <v>8033</v>
      </c>
      <c r="B961" s="52">
        <v>-0.27</v>
      </c>
      <c r="C961" s="160">
        <v>1</v>
      </c>
      <c r="D961" s="157">
        <v>129629629.62962963</v>
      </c>
      <c r="E961" s="26">
        <f>VLOOKUP(8033,季財報!$A:$H,8,0)</f>
        <v>1</v>
      </c>
      <c r="F961" s="160">
        <v>5.9499999999999996E-3</v>
      </c>
      <c r="G961" s="54">
        <v>1258703703.7037039</v>
      </c>
      <c r="H961" s="54">
        <v>895891000</v>
      </c>
      <c r="I961" s="65">
        <v>1.3705889951443202</v>
      </c>
      <c r="J961" s="162">
        <v>0</v>
      </c>
    </row>
    <row r="962" spans="1:10" hidden="1">
      <c r="A962" s="64">
        <v>5251</v>
      </c>
      <c r="B962" s="52">
        <v>0.56000000000000005</v>
      </c>
      <c r="C962" s="160">
        <v>0</v>
      </c>
      <c r="D962" s="157">
        <v>30357142.857142854</v>
      </c>
      <c r="E962" s="26">
        <f>VLOOKUP(5251,季財報!$A:$H,8,0)</f>
        <v>2</v>
      </c>
      <c r="F962" s="160">
        <v>0.12006666666666665</v>
      </c>
      <c r="G962" s="54">
        <v>930446428.57142842</v>
      </c>
      <c r="H962" s="54">
        <v>672121000</v>
      </c>
      <c r="I962" s="65">
        <v>1.3758138966999687</v>
      </c>
      <c r="J962" s="162">
        <v>0</v>
      </c>
    </row>
    <row r="963" spans="1:10" hidden="1">
      <c r="A963" s="64">
        <v>4952</v>
      </c>
      <c r="B963" s="52">
        <v>1.24</v>
      </c>
      <c r="C963" s="160">
        <v>0.92105263157894735</v>
      </c>
      <c r="D963" s="157">
        <v>108870967.74193549</v>
      </c>
      <c r="E963" s="26">
        <f>VLOOKUP(4952,季財報!$A:$H,8,0)</f>
        <v>3</v>
      </c>
      <c r="F963" s="160">
        <v>4.5100000000000001E-2</v>
      </c>
      <c r="G963" s="54">
        <v>4186088709.6774201</v>
      </c>
      <c r="H963" s="54">
        <v>3059383000</v>
      </c>
      <c r="I963" s="65">
        <v>1.3777511107767475</v>
      </c>
      <c r="J963" s="162">
        <v>8.4164746543778808</v>
      </c>
    </row>
    <row r="964" spans="1:10" hidden="1">
      <c r="A964" s="64">
        <v>4935</v>
      </c>
      <c r="B964" s="52">
        <v>2.48</v>
      </c>
      <c r="C964" s="160">
        <v>0.87631027253668758</v>
      </c>
      <c r="D964" s="157">
        <v>129435483.87096775</v>
      </c>
      <c r="E964" s="26">
        <f>VLOOKUP(4935,季財報!$A:$H,8,0)</f>
        <v>6</v>
      </c>
      <c r="F964" s="160">
        <v>2.4591666666666668E-2</v>
      </c>
      <c r="G964" s="54">
        <v>9837096774.1935482</v>
      </c>
      <c r="H964" s="54">
        <v>7184944000</v>
      </c>
      <c r="I964" s="65">
        <v>1.3791034687810115</v>
      </c>
      <c r="J964" s="162">
        <v>8.7426686217008811</v>
      </c>
    </row>
    <row r="965" spans="1:10" hidden="1">
      <c r="A965" s="64">
        <v>4909</v>
      </c>
      <c r="B965" s="52">
        <v>1.1299999999999999</v>
      </c>
      <c r="C965" s="160">
        <v>0.48091603053435117</v>
      </c>
      <c r="D965" s="157">
        <v>92920353.982300892</v>
      </c>
      <c r="E965" s="26">
        <f>VLOOKUP(4909,季財報!$A:$H,8,0)</f>
        <v>3</v>
      </c>
      <c r="F965" s="160">
        <v>3.4641666666666661E-2</v>
      </c>
      <c r="G965" s="54">
        <v>2137168141.5929205</v>
      </c>
      <c r="H965" s="54">
        <v>1554016000</v>
      </c>
      <c r="I965" s="65">
        <v>1.3791295722214181</v>
      </c>
      <c r="J965" s="162">
        <v>10.580840005618768</v>
      </c>
    </row>
    <row r="966" spans="1:10" hidden="1">
      <c r="A966" s="64">
        <v>1472</v>
      </c>
      <c r="B966" s="150">
        <v>-0.16</v>
      </c>
      <c r="C966" s="159">
        <v>1</v>
      </c>
      <c r="D966" s="152">
        <v>75000000</v>
      </c>
      <c r="E966" s="26">
        <f>VLOOKUP(1472,季財報!$A:$H,8,0)</f>
        <v>0</v>
      </c>
      <c r="F966" s="159">
        <v>1.9216666666666663E-2</v>
      </c>
      <c r="G966" s="152">
        <v>1050000000</v>
      </c>
      <c r="H966" s="152">
        <v>762657000</v>
      </c>
      <c r="I966" s="150">
        <v>1.3849045405084579</v>
      </c>
      <c r="J966" s="152">
        <v>0</v>
      </c>
    </row>
    <row r="967" spans="1:10" hidden="1">
      <c r="A967" s="64">
        <v>3041</v>
      </c>
      <c r="B967" s="150">
        <v>0.11</v>
      </c>
      <c r="C967" s="159">
        <v>1</v>
      </c>
      <c r="D967" s="152">
        <v>281818181.81818181</v>
      </c>
      <c r="E967" s="26">
        <f>VLOOKUP(3041,季財報!$A:$H,8,0)</f>
        <v>2</v>
      </c>
      <c r="F967" s="159">
        <v>1.3441666666666683E-2</v>
      </c>
      <c r="G967" s="152">
        <v>4960000000</v>
      </c>
      <c r="H967" s="152">
        <v>3512073000</v>
      </c>
      <c r="I967" s="150">
        <v>1.3875969534413664</v>
      </c>
      <c r="J967" s="152">
        <v>40</v>
      </c>
    </row>
    <row r="968" spans="1:10" hidden="1">
      <c r="A968" s="64">
        <v>8403</v>
      </c>
      <c r="B968" s="52">
        <v>0.64</v>
      </c>
      <c r="C968" s="160">
        <v>1</v>
      </c>
      <c r="D968" s="157">
        <v>60937500</v>
      </c>
      <c r="E968" s="26">
        <f>VLOOKUP(8403,季財報!$A:$H,8,0)</f>
        <v>1</v>
      </c>
      <c r="F968" s="160">
        <v>2.5749999999999995E-2</v>
      </c>
      <c r="G968" s="54">
        <v>2906718750</v>
      </c>
      <c r="H968" s="54">
        <v>2119232000</v>
      </c>
      <c r="I968" s="65">
        <v>1.3891587106098122</v>
      </c>
      <c r="J968" s="162">
        <v>18.6328125</v>
      </c>
    </row>
    <row r="969" spans="1:10" hidden="1">
      <c r="A969" s="64">
        <v>2732</v>
      </c>
      <c r="B969" s="150">
        <v>1.7</v>
      </c>
      <c r="C969" s="159">
        <v>0.69863013698630139</v>
      </c>
      <c r="D969" s="152">
        <v>27647058.823529411</v>
      </c>
      <c r="E969" s="26">
        <f>VLOOKUP(2732,季財報!$A:$H,8,0)</f>
        <v>4</v>
      </c>
      <c r="F969" s="159">
        <v>1.0366666666666668E-2</v>
      </c>
      <c r="G969" s="152">
        <v>2267058823.5294118</v>
      </c>
      <c r="H969" s="152">
        <v>1639324000</v>
      </c>
      <c r="I969" s="150">
        <v>1.3894944342167224</v>
      </c>
      <c r="J969" s="152">
        <v>17.260668973471741</v>
      </c>
    </row>
    <row r="970" spans="1:10" hidden="1">
      <c r="A970" s="64">
        <v>8044</v>
      </c>
      <c r="B970" s="52">
        <v>2</v>
      </c>
      <c r="C970" s="160">
        <v>0.94476744186046513</v>
      </c>
      <c r="D970" s="157">
        <v>93000000</v>
      </c>
      <c r="E970" s="26">
        <f>VLOOKUP(8044,季財報!$A:$H,8,0)</f>
        <v>1</v>
      </c>
      <c r="F970" s="160">
        <v>1.7541666666666667E-2</v>
      </c>
      <c r="G970" s="54">
        <v>31248000000</v>
      </c>
      <c r="H970" s="54">
        <v>22709533000</v>
      </c>
      <c r="I970" s="65">
        <v>1.3959335305485543</v>
      </c>
      <c r="J970" s="162">
        <v>44.455384615384617</v>
      </c>
    </row>
    <row r="971" spans="1:10" hidden="1">
      <c r="A971" s="64">
        <v>5213</v>
      </c>
      <c r="B971" s="52">
        <v>-0.22</v>
      </c>
      <c r="C971" s="160">
        <v>0</v>
      </c>
      <c r="D971" s="157">
        <v>377272727.27272725</v>
      </c>
      <c r="E971" s="26">
        <f>VLOOKUP(5213,季財報!$A:$H,8,0)</f>
        <v>1</v>
      </c>
      <c r="F971" s="160">
        <v>6.1057999999999995</v>
      </c>
      <c r="G971" s="54">
        <v>5602500000</v>
      </c>
      <c r="H971" s="54">
        <v>4067520000</v>
      </c>
      <c r="I971" s="65">
        <v>1.3965188853473574</v>
      </c>
      <c r="J971" s="162">
        <v>0</v>
      </c>
    </row>
    <row r="972" spans="1:10" hidden="1">
      <c r="A972" s="64">
        <v>1726</v>
      </c>
      <c r="B972" s="150">
        <v>1.65</v>
      </c>
      <c r="C972" s="159">
        <v>0.91832669322709159</v>
      </c>
      <c r="D972" s="152">
        <v>161818181.81818181</v>
      </c>
      <c r="E972" s="26">
        <f>VLOOKUP(1726,季財報!$A:$H,8,0)</f>
        <v>3</v>
      </c>
      <c r="F972" s="159">
        <v>1.2375000000000002E-2</v>
      </c>
      <c r="G972" s="152">
        <v>11262545454.545454</v>
      </c>
      <c r="H972" s="152">
        <v>8059529000</v>
      </c>
      <c r="I972" s="150">
        <v>1.3975040776610144</v>
      </c>
      <c r="J972" s="152">
        <v>11.483336619996056</v>
      </c>
    </row>
    <row r="973" spans="1:10" hidden="1">
      <c r="A973" s="64">
        <v>4303</v>
      </c>
      <c r="B973" s="52">
        <v>0.36</v>
      </c>
      <c r="C973" s="160">
        <v>0.6</v>
      </c>
      <c r="D973" s="157">
        <v>72222222.222222224</v>
      </c>
      <c r="E973" s="26">
        <f>VLOOKUP(4303,季財報!$A:$H,8,0)</f>
        <v>2</v>
      </c>
      <c r="F973" s="160">
        <v>4.5799999999999987E-2</v>
      </c>
      <c r="G973" s="54">
        <v>906388888.88888896</v>
      </c>
      <c r="H973" s="54">
        <v>645074000</v>
      </c>
      <c r="I973" s="65">
        <v>1.3982735628164651</v>
      </c>
      <c r="J973" s="162">
        <v>14.525462962962964</v>
      </c>
    </row>
    <row r="974" spans="1:10" hidden="1">
      <c r="A974" s="64">
        <v>3551</v>
      </c>
      <c r="B974" s="150">
        <v>1.1000000000000001</v>
      </c>
      <c r="C974" s="159">
        <v>0.86178861788617889</v>
      </c>
      <c r="D974" s="152">
        <v>57272727.272727266</v>
      </c>
      <c r="E974" s="26">
        <f>VLOOKUP(3551,季財報!$A:$H,8,0)</f>
        <v>1</v>
      </c>
      <c r="F974" s="159">
        <v>-1.5975E-2</v>
      </c>
      <c r="G974" s="152">
        <v>1978772727.2727268</v>
      </c>
      <c r="H974" s="152">
        <v>1373279000</v>
      </c>
      <c r="I974" s="150">
        <v>1.4128298306785123</v>
      </c>
      <c r="J974" s="152">
        <v>9.1115994854202373</v>
      </c>
    </row>
    <row r="975" spans="1:10" hidden="1">
      <c r="A975" s="64">
        <v>5201</v>
      </c>
      <c r="B975" s="52">
        <v>0.62</v>
      </c>
      <c r="C975" s="160">
        <v>0</v>
      </c>
      <c r="D975" s="157">
        <v>29032258.064516131</v>
      </c>
      <c r="E975" s="26">
        <f>VLOOKUP(5201,季財報!$A:$H,8,0)</f>
        <v>4</v>
      </c>
      <c r="F975" s="160">
        <v>1.265E-2</v>
      </c>
      <c r="G975" s="54">
        <v>371612903.22580647</v>
      </c>
      <c r="H975" s="54">
        <v>260131000</v>
      </c>
      <c r="I975" s="65">
        <v>1.4137401305107946</v>
      </c>
      <c r="J975" s="162">
        <v>0</v>
      </c>
    </row>
    <row r="976" spans="1:10" hidden="1">
      <c r="A976" s="64">
        <v>2236</v>
      </c>
      <c r="B976" s="150">
        <v>0.9</v>
      </c>
      <c r="C976" s="159">
        <v>0.65625</v>
      </c>
      <c r="D976" s="152">
        <v>33333333.333333332</v>
      </c>
      <c r="E976" s="26">
        <f>VLOOKUP(2236,季財報!$A:$H,8,0)</f>
        <v>1</v>
      </c>
      <c r="F976" s="159">
        <v>-8.4933333333333347E-2</v>
      </c>
      <c r="G976" s="152">
        <v>1246666666.6666665</v>
      </c>
      <c r="H976" s="152">
        <v>1015016000</v>
      </c>
      <c r="I976" s="150">
        <v>1.4143041358942068</v>
      </c>
      <c r="J976" s="152">
        <v>15.830687830687829</v>
      </c>
    </row>
    <row r="977" spans="1:11" hidden="1">
      <c r="A977" s="64">
        <v>5317</v>
      </c>
      <c r="B977" s="52">
        <v>0.18</v>
      </c>
      <c r="C977" s="160">
        <v>0.59459459459459463</v>
      </c>
      <c r="D977" s="157">
        <v>133333333.33333334</v>
      </c>
      <c r="E977" s="26">
        <f>VLOOKUP(5317,季財報!$A:$H,8,0)</f>
        <v>2</v>
      </c>
      <c r="F977" s="160">
        <v>2.8499999999999962E-3</v>
      </c>
      <c r="G977" s="54">
        <v>2320000000</v>
      </c>
      <c r="H977" s="54">
        <v>1623761000</v>
      </c>
      <c r="I977" s="65">
        <v>1.4144099106239254</v>
      </c>
      <c r="J977" s="162">
        <v>40.643939393939391</v>
      </c>
    </row>
    <row r="978" spans="1:11" hidden="1">
      <c r="A978" s="64">
        <v>1264</v>
      </c>
      <c r="B978" s="150">
        <v>3.14</v>
      </c>
      <c r="C978" s="159">
        <v>1</v>
      </c>
      <c r="D978" s="152">
        <v>30573248.407643311</v>
      </c>
      <c r="E978" s="26">
        <f>VLOOKUP(1264,季財報!$A:$H,8,0)</f>
        <v>2</v>
      </c>
      <c r="F978" s="159">
        <v>2.7241666666666664E-2</v>
      </c>
      <c r="G978" s="152">
        <v>5426751592.3566875</v>
      </c>
      <c r="H978" s="152">
        <v>3866190000</v>
      </c>
      <c r="I978" s="150">
        <v>1.4154551175222396</v>
      </c>
      <c r="J978" s="152">
        <v>14.13216560509554</v>
      </c>
    </row>
    <row r="979" spans="1:11" hidden="1">
      <c r="A979" s="64">
        <v>4999</v>
      </c>
      <c r="B979" s="52">
        <v>2.06</v>
      </c>
      <c r="C979" s="160">
        <v>0.76328502415458932</v>
      </c>
      <c r="D979" s="157">
        <v>74271844.660194173</v>
      </c>
      <c r="E979" s="26">
        <f>VLOOKUP(4999,季財報!$A:$H,8,0)</f>
        <v>4</v>
      </c>
      <c r="F979" s="160">
        <v>4.783333333333333E-3</v>
      </c>
      <c r="G979" s="54">
        <v>3063713592.2330098</v>
      </c>
      <c r="H979" s="54">
        <v>2138666000</v>
      </c>
      <c r="I979" s="65">
        <v>1.4160507497511094</v>
      </c>
      <c r="J979" s="162">
        <v>6.5585827086149697</v>
      </c>
    </row>
    <row r="980" spans="1:11" hidden="1">
      <c r="A980" s="64">
        <v>5487</v>
      </c>
      <c r="B980" s="52">
        <v>0.47</v>
      </c>
      <c r="C980" s="160">
        <v>0.57894736842105265</v>
      </c>
      <c r="D980" s="157">
        <v>21276595.744680852</v>
      </c>
      <c r="E980" s="26">
        <f>VLOOKUP(5487,季財報!$A:$H,8,0)</f>
        <v>2</v>
      </c>
      <c r="F980" s="160">
        <v>8.3500000000000019E-2</v>
      </c>
      <c r="G980" s="54">
        <v>446808510.63829792</v>
      </c>
      <c r="H980" s="54">
        <v>320136000</v>
      </c>
      <c r="I980" s="65">
        <v>1.419101963895208</v>
      </c>
      <c r="J980" s="162">
        <v>19.294003868471954</v>
      </c>
    </row>
    <row r="981" spans="1:11" hidden="1">
      <c r="A981" s="64">
        <v>3454</v>
      </c>
      <c r="B981" s="150">
        <v>2.0499999999999998</v>
      </c>
      <c r="C981" s="159">
        <v>0.83860759493670889</v>
      </c>
      <c r="D981" s="152">
        <v>76585365.853658542</v>
      </c>
      <c r="E981" s="26">
        <f>VLOOKUP(3454,季財報!$A:$H,8,0)</f>
        <v>2</v>
      </c>
      <c r="F981" s="159">
        <v>3.1041666666666662E-2</v>
      </c>
      <c r="G981" s="152">
        <v>5567756097.560976</v>
      </c>
      <c r="H981" s="152">
        <v>3989166000</v>
      </c>
      <c r="I981" s="150">
        <v>1.4198283578667308</v>
      </c>
      <c r="J981" s="152">
        <v>10.572112287160609</v>
      </c>
    </row>
    <row r="982" spans="1:11" hidden="1">
      <c r="A982" s="64">
        <v>8150</v>
      </c>
      <c r="B982" s="52">
        <v>0.65</v>
      </c>
      <c r="C982" s="160">
        <v>0.83149171270718236</v>
      </c>
      <c r="D982" s="157">
        <v>896923076.92307687</v>
      </c>
      <c r="E982" s="26">
        <f>VLOOKUP(8150,季財報!$A:$H,8,0)</f>
        <v>2</v>
      </c>
      <c r="F982" s="160">
        <v>-1.6799999999999999E-2</v>
      </c>
      <c r="G982" s="54">
        <v>29239692307.692307</v>
      </c>
      <c r="H982" s="54">
        <v>20200100000</v>
      </c>
      <c r="I982" s="65">
        <v>1.4213343119299866</v>
      </c>
      <c r="J982" s="162">
        <v>15.079478660874008</v>
      </c>
    </row>
    <row r="983" spans="1:11" hidden="1">
      <c r="A983" s="64">
        <v>3617</v>
      </c>
      <c r="B983" s="150">
        <v>3.66</v>
      </c>
      <c r="C983" s="159">
        <v>0.7220902612826603</v>
      </c>
      <c r="D983" s="152">
        <v>80874316.939890712</v>
      </c>
      <c r="E983" s="26">
        <f>VLOOKUP(3617,季財報!$A:$H,8,0)</f>
        <v>3</v>
      </c>
      <c r="F983" s="159">
        <v>3.7816666666666665E-2</v>
      </c>
      <c r="G983" s="152">
        <v>8693989071.0382519</v>
      </c>
      <c r="H983" s="152">
        <v>6215467000</v>
      </c>
      <c r="I983" s="150">
        <v>1.4236918191392061</v>
      </c>
      <c r="J983" s="152">
        <v>10.168945031636468</v>
      </c>
    </row>
    <row r="984" spans="1:11" hidden="1">
      <c r="A984" s="64">
        <v>3533</v>
      </c>
      <c r="B984" s="150">
        <v>3.3</v>
      </c>
      <c r="C984" s="159">
        <v>0.49742268041237114</v>
      </c>
      <c r="D984" s="152">
        <v>93636363.63636364</v>
      </c>
      <c r="E984" s="26">
        <f>VLOOKUP(3533,季財報!$A:$H,8,0)</f>
        <v>5</v>
      </c>
      <c r="F984" s="159">
        <v>1.1983333333333332E-2</v>
      </c>
      <c r="G984" s="152">
        <v>11564090909.09091</v>
      </c>
      <c r="H984" s="152">
        <v>8130175000</v>
      </c>
      <c r="I984" s="150">
        <v>1.4309029180205624</v>
      </c>
      <c r="J984" s="152">
        <v>18.809075208038941</v>
      </c>
    </row>
    <row r="985" spans="1:11" hidden="1">
      <c r="A985" s="64">
        <v>2924</v>
      </c>
      <c r="B985" s="150">
        <v>0.15</v>
      </c>
      <c r="C985" s="159">
        <v>0</v>
      </c>
      <c r="D985" s="152">
        <v>33333333.333333336</v>
      </c>
      <c r="E985" s="26">
        <f>VLOOKUP(2924,季財報!$A:$H,8,0)</f>
        <v>1</v>
      </c>
      <c r="F985" s="159">
        <v>-1.4849999999999997E-2</v>
      </c>
      <c r="G985" s="152">
        <v>1990000000.0000002</v>
      </c>
      <c r="H985" s="152">
        <v>1341197000</v>
      </c>
      <c r="I985" s="150">
        <v>1.4340998681204646</v>
      </c>
      <c r="J985" s="152">
        <v>0</v>
      </c>
    </row>
    <row r="986" spans="1:11" hidden="1">
      <c r="A986" s="64">
        <v>2105</v>
      </c>
      <c r="B986" s="150">
        <v>0.94</v>
      </c>
      <c r="C986" s="159">
        <v>1</v>
      </c>
      <c r="D986" s="152">
        <v>3244680851.0638299</v>
      </c>
      <c r="E986" s="26">
        <f>VLOOKUP(2105,季財報!$A:$H,8,0)</f>
        <v>1</v>
      </c>
      <c r="F986" s="159">
        <v>6.025E-3</v>
      </c>
      <c r="G986" s="152">
        <v>171319148936.1702</v>
      </c>
      <c r="H986" s="152">
        <v>118000636000</v>
      </c>
      <c r="I986" s="150">
        <v>1.4435285606111912</v>
      </c>
      <c r="J986" s="152">
        <v>14.042553191489361</v>
      </c>
    </row>
    <row r="987" spans="1:11" hidden="1">
      <c r="A987" s="64">
        <v>6203</v>
      </c>
      <c r="B987" s="52">
        <v>1.18</v>
      </c>
      <c r="C987" s="160">
        <v>0.4247787610619469</v>
      </c>
      <c r="D987" s="157">
        <v>80508474.576271191</v>
      </c>
      <c r="E987" s="26">
        <f>VLOOKUP(6203,季財報!$A:$H,8,0)</f>
        <v>5</v>
      </c>
      <c r="F987" s="160">
        <v>4.4699999999999997E-2</v>
      </c>
      <c r="G987" s="54">
        <v>2491737288.1355934</v>
      </c>
      <c r="H987" s="54">
        <v>1772669000</v>
      </c>
      <c r="I987" s="65">
        <v>1.445371879178994</v>
      </c>
      <c r="J987" s="162">
        <v>15.436749646892657</v>
      </c>
    </row>
    <row r="988" spans="1:11" hidden="1">
      <c r="A988" s="64">
        <v>8048</v>
      </c>
      <c r="B988" s="52">
        <v>1.49</v>
      </c>
      <c r="C988" s="160">
        <v>0.80314960629921262</v>
      </c>
      <c r="D988" s="157">
        <v>51677852.348993286</v>
      </c>
      <c r="E988" s="26">
        <f>VLOOKUP(8048,季財報!$A:$H,8,0)</f>
        <v>5</v>
      </c>
      <c r="F988" s="160">
        <v>3.4474999999999999E-2</v>
      </c>
      <c r="G988" s="54">
        <v>2237651006.7114091</v>
      </c>
      <c r="H988" s="54">
        <v>1571946000</v>
      </c>
      <c r="I988" s="65">
        <v>1.4459939183250536</v>
      </c>
      <c r="J988" s="162">
        <v>9.0457626003421492</v>
      </c>
    </row>
    <row r="989" spans="1:11" hidden="1">
      <c r="A989" s="64">
        <v>4979</v>
      </c>
      <c r="B989" s="52">
        <v>2.46</v>
      </c>
      <c r="C989" s="160">
        <v>0.85172413793103452</v>
      </c>
      <c r="D989" s="157">
        <v>73577235.772357732</v>
      </c>
      <c r="E989" s="26">
        <f>VLOOKUP(4979,季財報!$A:$H,8,0)</f>
        <v>3</v>
      </c>
      <c r="F989" s="160">
        <v>3.3849999999999998E-2</v>
      </c>
      <c r="G989" s="54">
        <v>5805243902.4390259</v>
      </c>
      <c r="H989" s="54">
        <v>4096854000</v>
      </c>
      <c r="I989" s="65">
        <v>1.450946787965977</v>
      </c>
      <c r="J989" s="162">
        <v>9.414189789671175</v>
      </c>
    </row>
    <row r="990" spans="1:11" hidden="1">
      <c r="A990" s="64">
        <v>3498</v>
      </c>
      <c r="B990" s="150">
        <v>2.8</v>
      </c>
      <c r="C990" s="159">
        <v>1</v>
      </c>
      <c r="D990" s="152">
        <v>76785714.285714284</v>
      </c>
      <c r="E990" s="26">
        <f>VLOOKUP(3498,季財報!$A:$H,8,0)</f>
        <v>4</v>
      </c>
      <c r="F990" s="159">
        <v>6.6699999999999995E-2</v>
      </c>
      <c r="G990" s="152">
        <v>4622500000</v>
      </c>
      <c r="H990" s="152">
        <v>3166922000</v>
      </c>
      <c r="I990" s="150">
        <v>1.4580855218810613</v>
      </c>
      <c r="J990" s="152">
        <v>5.3750000000000009</v>
      </c>
    </row>
    <row r="991" spans="1:11" hidden="1">
      <c r="A991" s="64">
        <v>1537</v>
      </c>
      <c r="B991" s="150">
        <v>3.08</v>
      </c>
      <c r="C991" s="159">
        <v>0.82926829268292679</v>
      </c>
      <c r="D991" s="152">
        <v>81493506.493506491</v>
      </c>
      <c r="E991" s="26">
        <f>VLOOKUP(1537,季財報!$A:$H,8,0)</f>
        <v>4</v>
      </c>
      <c r="F991" s="159">
        <v>3.9583333333333337E-3</v>
      </c>
      <c r="G991" s="152">
        <v>10186688311.688311</v>
      </c>
      <c r="H991" s="152">
        <v>6966068000</v>
      </c>
      <c r="I991" s="150">
        <v>1.4589579870673832</v>
      </c>
      <c r="J991" s="152">
        <v>12.235007639419404</v>
      </c>
      <c r="K991" s="32"/>
    </row>
    <row r="992" spans="1:11" hidden="1">
      <c r="A992" s="64">
        <v>9949</v>
      </c>
      <c r="B992" s="52">
        <v>-0.45</v>
      </c>
      <c r="C992" s="160">
        <v>1</v>
      </c>
      <c r="D992" s="157">
        <v>48888888.888888888</v>
      </c>
      <c r="E992" s="26">
        <f>VLOOKUP(9949,季財報!$A:$H,8,0)</f>
        <v>1</v>
      </c>
      <c r="F992" s="160">
        <v>2.5333333333333228E-3</v>
      </c>
      <c r="G992" s="54">
        <v>623333333.33333337</v>
      </c>
      <c r="H992" s="54">
        <v>412808000</v>
      </c>
      <c r="I992" s="65">
        <v>1.4590760381482064</v>
      </c>
      <c r="J992" s="162">
        <v>0</v>
      </c>
    </row>
    <row r="993" spans="1:10" hidden="1">
      <c r="A993" s="64">
        <v>3014</v>
      </c>
      <c r="B993" s="150">
        <v>0.74</v>
      </c>
      <c r="C993" s="159">
        <v>1</v>
      </c>
      <c r="D993" s="152">
        <v>154054054.05405405</v>
      </c>
      <c r="E993" s="26">
        <f>VLOOKUP(3014,季財報!$A:$H,8,0)</f>
        <v>3</v>
      </c>
      <c r="F993" s="159">
        <v>2.8183333333333328E-2</v>
      </c>
      <c r="G993" s="152">
        <v>4482972972.9729729</v>
      </c>
      <c r="H993" s="152">
        <v>3078601000</v>
      </c>
      <c r="I993" s="150">
        <v>1.4709948365482808</v>
      </c>
      <c r="J993" s="152">
        <v>9.8310810810810825</v>
      </c>
    </row>
    <row r="994" spans="1:10" hidden="1">
      <c r="A994" s="64">
        <v>2451</v>
      </c>
      <c r="B994" s="150">
        <v>2.52</v>
      </c>
      <c r="C994" s="159">
        <v>0.67152821813570074</v>
      </c>
      <c r="D994" s="152">
        <v>430952380.95238096</v>
      </c>
      <c r="E994" s="26">
        <f>VLOOKUP(2451,季財報!$A:$H,8,0)</f>
        <v>3</v>
      </c>
      <c r="F994" s="159">
        <v>7.8333333333333293E-3</v>
      </c>
      <c r="G994" s="152">
        <v>36717142857.14286</v>
      </c>
      <c r="H994" s="152">
        <v>24976369000</v>
      </c>
      <c r="I994" s="150">
        <v>1.4733399362106063</v>
      </c>
      <c r="J994" s="152">
        <v>12.586784477719322</v>
      </c>
    </row>
    <row r="995" spans="1:10" hidden="1">
      <c r="A995" s="64">
        <v>5210</v>
      </c>
      <c r="B995" s="52">
        <v>-0.3</v>
      </c>
      <c r="C995" s="160">
        <v>0</v>
      </c>
      <c r="D995" s="157">
        <v>66666666.666666672</v>
      </c>
      <c r="E995" s="26">
        <f>VLOOKUP(5210,季財報!$A:$H,8,0)</f>
        <v>2</v>
      </c>
      <c r="F995" s="160">
        <v>8.7141666666666631E-2</v>
      </c>
      <c r="G995" s="54">
        <v>464666666.66666669</v>
      </c>
      <c r="H995" s="54">
        <v>313211000</v>
      </c>
      <c r="I995" s="65">
        <v>1.4771252218601818</v>
      </c>
      <c r="J995" s="162">
        <v>0</v>
      </c>
    </row>
    <row r="996" spans="1:10" hidden="1">
      <c r="A996" s="64">
        <v>6417</v>
      </c>
      <c r="B996" s="52">
        <v>1.04</v>
      </c>
      <c r="C996" s="160">
        <v>0.78846153846153844</v>
      </c>
      <c r="D996" s="157">
        <v>31730769.230769228</v>
      </c>
      <c r="E996" s="26">
        <f>VLOOKUP(6417,季財報!$A:$H,8,0)</f>
        <v>3</v>
      </c>
      <c r="F996" s="160">
        <v>2.7741666666666668E-2</v>
      </c>
      <c r="G996" s="54">
        <v>1399326923.0769229</v>
      </c>
      <c r="H996" s="54">
        <v>960215000</v>
      </c>
      <c r="I996" s="65">
        <v>1.4802977285297729</v>
      </c>
      <c r="J996" s="162">
        <v>13.445121951219514</v>
      </c>
    </row>
    <row r="997" spans="1:10" hidden="1">
      <c r="A997" s="64">
        <v>2929</v>
      </c>
      <c r="B997" s="150">
        <v>2.67</v>
      </c>
      <c r="C997" s="159">
        <v>0.84750733137829914</v>
      </c>
      <c r="D997" s="152">
        <v>58052434.456928842</v>
      </c>
      <c r="E997" s="26">
        <f>VLOOKUP(2929,季財報!$A:$H,8,0)</f>
        <v>1</v>
      </c>
      <c r="F997" s="159">
        <v>0.17135833333333336</v>
      </c>
      <c r="G997" s="152">
        <v>7808052434.4569292</v>
      </c>
      <c r="H997" s="152">
        <v>5331221000</v>
      </c>
      <c r="I997" s="150">
        <v>1.4823610911792</v>
      </c>
      <c r="J997" s="152">
        <v>14.859615359693118</v>
      </c>
    </row>
    <row r="998" spans="1:10" hidden="1">
      <c r="A998" s="64">
        <v>8936</v>
      </c>
      <c r="B998" s="52">
        <v>0.63</v>
      </c>
      <c r="C998" s="160">
        <v>1</v>
      </c>
      <c r="D998" s="157">
        <v>187301587.30158731</v>
      </c>
      <c r="E998" s="26">
        <f>VLOOKUP(8936,季財報!$A:$H,8,0)</f>
        <v>1</v>
      </c>
      <c r="F998" s="160">
        <v>-2.7433333333333327E-2</v>
      </c>
      <c r="G998" s="54">
        <v>6742857142.8571434</v>
      </c>
      <c r="H998" s="54">
        <v>4416138000</v>
      </c>
      <c r="I998" s="65">
        <v>1.4827104650961163</v>
      </c>
      <c r="J998" s="162">
        <v>14.285714285714286</v>
      </c>
    </row>
    <row r="999" spans="1:10" hidden="1">
      <c r="A999" s="64">
        <v>2449</v>
      </c>
      <c r="B999" s="150">
        <v>0.46</v>
      </c>
      <c r="C999" s="159">
        <v>0.92459016393442628</v>
      </c>
      <c r="D999" s="152">
        <v>1173913043.4782608</v>
      </c>
      <c r="E999" s="26">
        <f>VLOOKUP(2449,季財報!$A:$H,8,0)</f>
        <v>1</v>
      </c>
      <c r="F999" s="159">
        <v>3.5416666666666674E-3</v>
      </c>
      <c r="G999" s="152">
        <v>25356521739.130432</v>
      </c>
      <c r="H999" s="152">
        <v>17088645000</v>
      </c>
      <c r="I999" s="150">
        <v>1.486849587883893</v>
      </c>
      <c r="J999" s="152">
        <v>12.696577243293246</v>
      </c>
    </row>
    <row r="1000" spans="1:10" hidden="1">
      <c r="A1000" s="64">
        <v>1303</v>
      </c>
      <c r="B1000" s="150">
        <v>1.27</v>
      </c>
      <c r="C1000" s="159">
        <v>0.23281547381932458</v>
      </c>
      <c r="D1000" s="152">
        <v>7901574803.1496058</v>
      </c>
      <c r="E1000" s="26">
        <f>VLOOKUP(1303,季財報!$A:$H,8,0)</f>
        <v>2</v>
      </c>
      <c r="F1000" s="159">
        <v>-9.8166666666666645E-3</v>
      </c>
      <c r="G1000" s="152">
        <v>461451968503.93695</v>
      </c>
      <c r="H1000" s="152">
        <v>305786780000</v>
      </c>
      <c r="I1000" s="150">
        <v>1.4898158373806716</v>
      </c>
      <c r="J1000" s="152">
        <v>49.378431783479535</v>
      </c>
    </row>
    <row r="1001" spans="1:10" hidden="1">
      <c r="A1001" s="64">
        <v>6101</v>
      </c>
      <c r="B1001" s="52">
        <v>-0.79</v>
      </c>
      <c r="C1001" s="160">
        <v>1</v>
      </c>
      <c r="D1001" s="157">
        <v>59493670.886075944</v>
      </c>
      <c r="E1001" s="26">
        <f>VLOOKUP(6101,季財報!$A:$H,8,0)</f>
        <v>0</v>
      </c>
      <c r="F1001" s="160">
        <v>-7.7666666666666761E-3</v>
      </c>
      <c r="G1001" s="54">
        <v>886455696.20253158</v>
      </c>
      <c r="H1001" s="54">
        <v>530876000</v>
      </c>
      <c r="I1001" s="65">
        <v>1.4907133856482977</v>
      </c>
      <c r="J1001" s="162">
        <v>0</v>
      </c>
    </row>
    <row r="1002" spans="1:10" hidden="1">
      <c r="A1002" s="64">
        <v>8072</v>
      </c>
      <c r="B1002" s="52">
        <v>0.57999999999999996</v>
      </c>
      <c r="C1002" s="160">
        <v>0.26315789473684209</v>
      </c>
      <c r="D1002" s="157">
        <v>100000000</v>
      </c>
      <c r="E1002" s="26">
        <f>VLOOKUP(8072,季財報!$A:$H,8,0)</f>
        <v>2</v>
      </c>
      <c r="F1002" s="160">
        <v>-1.1816666666666668E-2</v>
      </c>
      <c r="G1002" s="54">
        <v>2545000000</v>
      </c>
      <c r="H1002" s="54">
        <v>1671048000</v>
      </c>
      <c r="I1002" s="65">
        <v>1.4908682125222386</v>
      </c>
      <c r="J1002" s="162">
        <v>41.685344827586214</v>
      </c>
    </row>
    <row r="1003" spans="1:10" hidden="1">
      <c r="A1003" s="64">
        <v>3558</v>
      </c>
      <c r="B1003" s="150">
        <v>5.14</v>
      </c>
      <c r="C1003" s="159">
        <v>0.7321428571428571</v>
      </c>
      <c r="D1003" s="152">
        <v>49027237.354085609</v>
      </c>
      <c r="E1003" s="26">
        <f>VLOOKUP(3558,季財報!$A:$H,8,0)</f>
        <v>6</v>
      </c>
      <c r="F1003" s="159">
        <v>1.1499999999999998E-2</v>
      </c>
      <c r="G1003" s="152">
        <v>11325291828.793776</v>
      </c>
      <c r="H1003" s="152">
        <v>7641557000</v>
      </c>
      <c r="I1003" s="150">
        <v>1.4917606654245232</v>
      </c>
      <c r="J1003" s="152">
        <v>15.34592388725444</v>
      </c>
    </row>
    <row r="1004" spans="1:10" hidden="1">
      <c r="A1004" s="64">
        <v>2612</v>
      </c>
      <c r="B1004" s="150">
        <v>0.39</v>
      </c>
      <c r="C1004" s="159">
        <v>1</v>
      </c>
      <c r="D1004" s="152">
        <v>258974358.97435898</v>
      </c>
      <c r="E1004" s="26">
        <f>VLOOKUP(2612,季財報!$A:$H,8,0)</f>
        <v>4</v>
      </c>
      <c r="F1004" s="159">
        <v>-1.4833333333333341E-3</v>
      </c>
      <c r="G1004" s="152">
        <v>5075897435.8974361</v>
      </c>
      <c r="H1004" s="152">
        <v>3386741000</v>
      </c>
      <c r="I1004" s="150">
        <v>1.4918417110728093</v>
      </c>
      <c r="J1004" s="152">
        <v>12.564102564102564</v>
      </c>
    </row>
    <row r="1005" spans="1:10" hidden="1">
      <c r="A1005" s="64">
        <v>4733</v>
      </c>
      <c r="B1005" s="52">
        <v>4.6500000000000004</v>
      </c>
      <c r="C1005" s="160">
        <v>1</v>
      </c>
      <c r="D1005" s="157">
        <v>86236559.139784947</v>
      </c>
      <c r="E1005" s="26">
        <f>VLOOKUP(4733,季財報!$A:$H,8,0)</f>
        <v>2</v>
      </c>
      <c r="F1005" s="160">
        <v>5.7316666666666662E-2</v>
      </c>
      <c r="G1005" s="54">
        <v>14487741935.483871</v>
      </c>
      <c r="H1005" s="54">
        <v>9753006000</v>
      </c>
      <c r="I1005" s="65">
        <v>1.4927612397231862</v>
      </c>
      <c r="J1005" s="162">
        <v>9.0322580645161281</v>
      </c>
    </row>
    <row r="1006" spans="1:10" hidden="1">
      <c r="A1006" s="64">
        <v>4138</v>
      </c>
      <c r="B1006" s="52">
        <v>1.08</v>
      </c>
      <c r="C1006" s="160">
        <v>0.88235294117647056</v>
      </c>
      <c r="D1006" s="157">
        <v>29629629.629629627</v>
      </c>
      <c r="E1006" s="26">
        <f>VLOOKUP(4138,季財報!$A:$H,8,0)</f>
        <v>3</v>
      </c>
      <c r="F1006" s="160">
        <v>1.1383333333333337E-2</v>
      </c>
      <c r="G1006" s="54">
        <v>1964444444.4444442</v>
      </c>
      <c r="H1006" s="54">
        <v>1316243000</v>
      </c>
      <c r="I1006" s="65">
        <v>1.4936230826944248</v>
      </c>
      <c r="J1006" s="162">
        <v>17.393518518518515</v>
      </c>
    </row>
    <row r="1007" spans="1:10" hidden="1">
      <c r="A1007" s="64">
        <v>1597</v>
      </c>
      <c r="B1007" s="150">
        <v>0.78</v>
      </c>
      <c r="C1007" s="159">
        <v>0.66666666666666663</v>
      </c>
      <c r="D1007" s="152">
        <v>56410256.410256408</v>
      </c>
      <c r="E1007" s="26">
        <f>VLOOKUP(1597,季財報!$A:$H,8,0)</f>
        <v>3</v>
      </c>
      <c r="F1007" s="159">
        <v>7.8333333333333328E-3</v>
      </c>
      <c r="G1007" s="152">
        <v>1503333333.3333333</v>
      </c>
      <c r="H1007" s="152">
        <v>1003750000</v>
      </c>
      <c r="I1007" s="150">
        <v>1.4938533400374556</v>
      </c>
      <c r="J1007" s="152">
        <v>12.812499999999998</v>
      </c>
    </row>
    <row r="1008" spans="1:10" hidden="1">
      <c r="A1008" s="64">
        <v>3653</v>
      </c>
      <c r="B1008" s="150">
        <v>1.1100000000000001</v>
      </c>
      <c r="C1008" s="159">
        <v>0.44318181818181818</v>
      </c>
      <c r="D1008" s="152">
        <v>106306306.3063063</v>
      </c>
      <c r="E1008" s="26">
        <f>VLOOKUP(3653,季財報!$A:$H,8,0)</f>
        <v>3</v>
      </c>
      <c r="F1008" s="159">
        <v>-2.2833333333333334E-3</v>
      </c>
      <c r="G1008" s="152">
        <v>5028288288.2882881</v>
      </c>
      <c r="H1008" s="152">
        <v>3336776000</v>
      </c>
      <c r="I1008" s="150">
        <v>1.4975153892418229</v>
      </c>
      <c r="J1008" s="152">
        <v>24.037884037884037</v>
      </c>
    </row>
    <row r="1009" spans="1:11" hidden="1">
      <c r="A1009" s="64">
        <v>6257</v>
      </c>
      <c r="B1009" s="52">
        <v>0.59</v>
      </c>
      <c r="C1009" s="160">
        <v>0.90322580645161288</v>
      </c>
      <c r="D1009" s="157">
        <v>361016949.15254241</v>
      </c>
      <c r="E1009" s="26">
        <f>VLOOKUP(6257,季財報!$A:$H,8,0)</f>
        <v>2</v>
      </c>
      <c r="F1009" s="160">
        <v>2.0999999999999977E-3</v>
      </c>
      <c r="G1009" s="54">
        <v>7545254237.2881355</v>
      </c>
      <c r="H1009" s="54">
        <v>5031354000</v>
      </c>
      <c r="I1009" s="65">
        <v>1.4977414021301425</v>
      </c>
      <c r="J1009" s="162">
        <v>9.804782082324456</v>
      </c>
    </row>
    <row r="1010" spans="1:11" hidden="1">
      <c r="A1010" s="64">
        <v>2063</v>
      </c>
      <c r="B1010" s="150">
        <v>0.68</v>
      </c>
      <c r="C1010" s="159">
        <v>0.8</v>
      </c>
      <c r="D1010" s="152">
        <v>42647058.823529407</v>
      </c>
      <c r="E1010" s="26">
        <f>VLOOKUP(2063,季財報!$A:$H,8,0)</f>
        <v>2</v>
      </c>
      <c r="F1010" s="159">
        <v>8.4166666666666667E-2</v>
      </c>
      <c r="G1010" s="152">
        <v>980882352.94117641</v>
      </c>
      <c r="H1010" s="152">
        <v>662894000</v>
      </c>
      <c r="I1010" s="150">
        <v>1.5013168371850476</v>
      </c>
      <c r="J1010" s="152">
        <v>10.569852941176469</v>
      </c>
    </row>
    <row r="1011" spans="1:11" hidden="1">
      <c r="A1011" s="64">
        <v>8080</v>
      </c>
      <c r="B1011" s="52">
        <v>-0.48</v>
      </c>
      <c r="C1011" s="160">
        <v>0.71698113207547165</v>
      </c>
      <c r="D1011" s="157">
        <v>64583333.333333336</v>
      </c>
      <c r="E1011" s="26">
        <f>VLOOKUP(8080,季財報!$A:$H,8,0)</f>
        <v>1</v>
      </c>
      <c r="F1011" s="160">
        <v>-4.6499999999999953E-3</v>
      </c>
      <c r="G1011" s="54">
        <v>726562500</v>
      </c>
      <c r="H1011" s="54">
        <v>469718000</v>
      </c>
      <c r="I1011" s="65">
        <v>1.5044414995496382</v>
      </c>
      <c r="J1011" s="162">
        <v>0</v>
      </c>
    </row>
    <row r="1012" spans="1:11" hidden="1">
      <c r="A1012" s="64">
        <v>4106</v>
      </c>
      <c r="B1012" s="52">
        <v>0.2</v>
      </c>
      <c r="C1012" s="160">
        <v>0.87692307692307692</v>
      </c>
      <c r="D1012" s="157">
        <v>80000000</v>
      </c>
      <c r="E1012" s="26">
        <f>VLOOKUP(4106,季財報!$A:$H,8,0)</f>
        <v>1</v>
      </c>
      <c r="F1012" s="160">
        <v>1.359166666666667E-2</v>
      </c>
      <c r="G1012" s="54">
        <v>3072000000</v>
      </c>
      <c r="H1012" s="54">
        <v>2020414000</v>
      </c>
      <c r="I1012" s="65">
        <v>1.5102338994416264</v>
      </c>
      <c r="J1012" s="162">
        <v>50</v>
      </c>
    </row>
    <row r="1013" spans="1:11" hidden="1">
      <c r="A1013" s="64">
        <v>1233</v>
      </c>
      <c r="B1013" s="150">
        <v>0.48</v>
      </c>
      <c r="C1013" s="159">
        <v>0.7142857142857143</v>
      </c>
      <c r="D1013" s="152">
        <v>89583333.333333343</v>
      </c>
      <c r="E1013" s="26">
        <f>VLOOKUP(1233,季財報!$A:$H,8,0)</f>
        <v>3</v>
      </c>
      <c r="F1013" s="159">
        <v>1.1283333333333334E-2</v>
      </c>
      <c r="G1013" s="152">
        <v>3233958333.333334</v>
      </c>
      <c r="H1013" s="152">
        <v>2148249000</v>
      </c>
      <c r="I1013" s="150">
        <v>1.5109074220117538</v>
      </c>
      <c r="J1013" s="152">
        <v>26.322916666666668</v>
      </c>
    </row>
    <row r="1014" spans="1:11" hidden="1">
      <c r="A1014" s="64">
        <v>1452</v>
      </c>
      <c r="B1014" s="150">
        <v>0.69</v>
      </c>
      <c r="C1014" s="159">
        <v>0.31578947368421051</v>
      </c>
      <c r="D1014" s="152">
        <v>131884057.9710145</v>
      </c>
      <c r="E1014" s="26">
        <f>VLOOKUP(1452,季財報!$A:$H,8,0)</f>
        <v>2</v>
      </c>
      <c r="F1014" s="159">
        <v>-8.4333333333333361E-3</v>
      </c>
      <c r="G1014" s="152">
        <v>3125652173.9130435</v>
      </c>
      <c r="H1014" s="152">
        <v>2034960000</v>
      </c>
      <c r="I1014" s="150">
        <v>1.5115300474995532</v>
      </c>
      <c r="J1014" s="152">
        <v>27.19202898550725</v>
      </c>
    </row>
    <row r="1015" spans="1:11" hidden="1">
      <c r="A1015" s="64">
        <v>3025</v>
      </c>
      <c r="B1015" s="150">
        <v>-0.06</v>
      </c>
      <c r="C1015" s="159">
        <v>1</v>
      </c>
      <c r="D1015" s="152">
        <v>83333333.333333343</v>
      </c>
      <c r="E1015" s="26">
        <f>VLOOKUP(3025,季財報!$A:$H,8,0)</f>
        <v>0</v>
      </c>
      <c r="F1015" s="159">
        <v>0.11566666666666665</v>
      </c>
      <c r="G1015" s="152">
        <v>696666666.66666675</v>
      </c>
      <c r="H1015" s="152">
        <v>459815000</v>
      </c>
      <c r="I1015" s="150">
        <v>1.5119421729140987</v>
      </c>
      <c r="J1015" s="152">
        <v>0</v>
      </c>
    </row>
    <row r="1016" spans="1:11" hidden="1">
      <c r="A1016" s="64">
        <v>2485</v>
      </c>
      <c r="B1016" s="150">
        <v>1.1599999999999999</v>
      </c>
      <c r="C1016" s="159">
        <v>0.39462809917355374</v>
      </c>
      <c r="D1016" s="152">
        <v>317241379.31034487</v>
      </c>
      <c r="E1016" s="26">
        <f>VLOOKUP(2485,季財報!$A:$H,8,0)</f>
        <v>5</v>
      </c>
      <c r="F1016" s="159">
        <v>3.4016666666666667E-2</v>
      </c>
      <c r="G1016" s="152">
        <v>15402068965.517242</v>
      </c>
      <c r="H1016" s="152">
        <v>10461769000</v>
      </c>
      <c r="I1016" s="150">
        <v>1.5146718019780769</v>
      </c>
      <c r="J1016" s="152">
        <v>26.514488174760789</v>
      </c>
    </row>
    <row r="1017" spans="1:11" hidden="1">
      <c r="A1017" s="64">
        <v>8423</v>
      </c>
      <c r="B1017" s="52">
        <v>0.55000000000000004</v>
      </c>
      <c r="C1017" s="160">
        <v>0.75</v>
      </c>
      <c r="D1017" s="157">
        <v>18181818.18181818</v>
      </c>
      <c r="E1017" s="26">
        <f>VLOOKUP(8423,季財報!$A:$H,8,0)</f>
        <v>3</v>
      </c>
      <c r="F1017" s="160">
        <v>6.0083333333333334E-3</v>
      </c>
      <c r="G1017" s="54">
        <v>430909090.90909088</v>
      </c>
      <c r="H1017" s="54">
        <v>282871000</v>
      </c>
      <c r="I1017" s="65">
        <v>1.5162924665855844</v>
      </c>
      <c r="J1017" s="162">
        <v>14.363636363636362</v>
      </c>
    </row>
    <row r="1018" spans="1:11" hidden="1">
      <c r="A1018" s="64">
        <v>5498</v>
      </c>
      <c r="B1018" s="52">
        <v>-0.03</v>
      </c>
      <c r="C1018" s="160">
        <v>0</v>
      </c>
      <c r="D1018" s="157">
        <v>133333333.33333334</v>
      </c>
      <c r="E1018" s="26">
        <f>VLOOKUP(5498,季財報!$A:$H,8,0)</f>
        <v>1</v>
      </c>
      <c r="F1018" s="160">
        <v>-3.6783333333333335E-2</v>
      </c>
      <c r="G1018" s="54">
        <v>1440000000.0000002</v>
      </c>
      <c r="H1018" s="54">
        <v>901442000</v>
      </c>
      <c r="I1018" s="65">
        <v>1.5317926761162677</v>
      </c>
      <c r="J1018" s="162">
        <v>0</v>
      </c>
    </row>
    <row r="1019" spans="1:11" hidden="1">
      <c r="A1019" s="64">
        <v>1256</v>
      </c>
      <c r="B1019" s="150">
        <v>2.58</v>
      </c>
      <c r="C1019" s="159">
        <v>1</v>
      </c>
      <c r="D1019" s="152">
        <v>27131782.945736434</v>
      </c>
      <c r="E1019" s="26">
        <f>VLOOKUP(1256,季財報!$A:$H,8,0)</f>
        <v>1</v>
      </c>
      <c r="F1019" s="159">
        <v>9.6924999999999997E-2</v>
      </c>
      <c r="G1019" s="152">
        <v>3635658914.728682</v>
      </c>
      <c r="H1019" s="152">
        <v>2374707000</v>
      </c>
      <c r="I1019" s="150">
        <v>1.5345778458637356</v>
      </c>
      <c r="J1019" s="152">
        <v>12.984496124031008</v>
      </c>
    </row>
    <row r="1020" spans="1:11" hidden="1">
      <c r="A1020" s="64">
        <v>8081</v>
      </c>
      <c r="B1020" s="52">
        <v>1.77</v>
      </c>
      <c r="C1020" s="160">
        <v>0.72222222222222221</v>
      </c>
      <c r="D1020" s="157">
        <v>85310734.463276833</v>
      </c>
      <c r="E1020" s="26">
        <f>VLOOKUP(8081,季財報!$A:$H,8,0)</f>
        <v>2</v>
      </c>
      <c r="F1020" s="160">
        <v>-4.083333333333346E-4</v>
      </c>
      <c r="G1020" s="54">
        <v>5374576271.1864405</v>
      </c>
      <c r="H1020" s="54">
        <v>3454147000</v>
      </c>
      <c r="I1020" s="65">
        <v>1.5437499540246338</v>
      </c>
      <c r="J1020" s="162">
        <v>12.320730117340286</v>
      </c>
      <c r="K1020" s="32"/>
    </row>
    <row r="1021" spans="1:11" hidden="1">
      <c r="A1021" s="64">
        <v>3034</v>
      </c>
      <c r="B1021" s="150">
        <v>2.79</v>
      </c>
      <c r="C1021" s="159">
        <v>0.90040841972981467</v>
      </c>
      <c r="D1021" s="152">
        <v>608602150.53763437</v>
      </c>
      <c r="E1021" s="26">
        <f>VLOOKUP(3034,季財報!$A:$H,8,0)</f>
        <v>3</v>
      </c>
      <c r="F1021" s="159">
        <v>-1.2433333333333333E-2</v>
      </c>
      <c r="G1021" s="152">
        <v>80944086021.505371</v>
      </c>
      <c r="H1021" s="152">
        <v>51510773000</v>
      </c>
      <c r="I1021" s="150">
        <v>1.5462589770808837</v>
      </c>
      <c r="J1021" s="152">
        <v>13.235729989720038</v>
      </c>
    </row>
    <row r="1022" spans="1:11" hidden="1">
      <c r="A1022" s="64">
        <v>4536</v>
      </c>
      <c r="B1022" s="52">
        <v>2.67</v>
      </c>
      <c r="C1022" s="160">
        <v>0.50855745721271395</v>
      </c>
      <c r="D1022" s="157">
        <v>90636704.119850188</v>
      </c>
      <c r="E1022" s="26">
        <f>VLOOKUP(4536,季財報!$A:$H,8,0)</f>
        <v>5</v>
      </c>
      <c r="F1022" s="160">
        <v>1.5241666666666662E-2</v>
      </c>
      <c r="G1022" s="54">
        <v>10513857677.902622</v>
      </c>
      <c r="H1022" s="54">
        <v>6769125000</v>
      </c>
      <c r="I1022" s="65">
        <v>1.5468097504036447</v>
      </c>
      <c r="J1022" s="162">
        <v>21.357317775857101</v>
      </c>
    </row>
    <row r="1023" spans="1:11" hidden="1">
      <c r="A1023" s="64">
        <v>1533</v>
      </c>
      <c r="B1023" s="150">
        <v>0.79</v>
      </c>
      <c r="C1023" s="159">
        <v>0.50495049504950495</v>
      </c>
      <c r="D1023" s="152">
        <v>94936708.860759497</v>
      </c>
      <c r="E1023" s="26">
        <f>VLOOKUP(1533,季財報!$A:$H,8,0)</f>
        <v>3</v>
      </c>
      <c r="F1023" s="159">
        <v>1.2366666666666665E-2</v>
      </c>
      <c r="G1023" s="152">
        <v>3840189873.4177217</v>
      </c>
      <c r="H1023" s="152">
        <v>2470195000</v>
      </c>
      <c r="I1023" s="150">
        <v>1.548019851332026</v>
      </c>
      <c r="J1023" s="152">
        <v>25.350273020600646</v>
      </c>
    </row>
    <row r="1024" spans="1:11" hidden="1">
      <c r="A1024" s="64">
        <v>6449</v>
      </c>
      <c r="B1024" s="52">
        <v>0.93</v>
      </c>
      <c r="C1024" s="160">
        <v>0.66355140186915884</v>
      </c>
      <c r="D1024" s="157">
        <v>73118279.569892466</v>
      </c>
      <c r="E1024" s="26">
        <f>VLOOKUP(6449,季財報!$A:$H,8,0)</f>
        <v>4</v>
      </c>
      <c r="F1024" s="160">
        <v>9.1333333333333388E-3</v>
      </c>
      <c r="G1024" s="54">
        <v>2211827956.9892473</v>
      </c>
      <c r="H1024" s="54">
        <v>1419668000</v>
      </c>
      <c r="I1024" s="65">
        <v>1.5494405657083583</v>
      </c>
      <c r="J1024" s="162">
        <v>12.254846281993034</v>
      </c>
    </row>
    <row r="1025" spans="1:10" hidden="1">
      <c r="A1025" s="64">
        <v>3546</v>
      </c>
      <c r="B1025" s="150">
        <v>0.28000000000000003</v>
      </c>
      <c r="C1025" s="159">
        <v>1</v>
      </c>
      <c r="D1025" s="152">
        <v>32142857.142857138</v>
      </c>
      <c r="E1025" s="26">
        <f>VLOOKUP(3546,季財報!$A:$H,8,0)</f>
        <v>3</v>
      </c>
      <c r="F1025" s="159">
        <v>-3.9000000000000029E-3</v>
      </c>
      <c r="G1025" s="152">
        <v>1012499999.9999999</v>
      </c>
      <c r="H1025" s="152">
        <v>641786000</v>
      </c>
      <c r="I1025" s="150">
        <v>1.549942594718714</v>
      </c>
      <c r="J1025" s="152">
        <v>28.124999999999996</v>
      </c>
    </row>
    <row r="1026" spans="1:10" hidden="1">
      <c r="A1026" s="64">
        <v>2397</v>
      </c>
      <c r="B1026" s="150">
        <v>1.05</v>
      </c>
      <c r="C1026" s="159">
        <v>0.77142857142857146</v>
      </c>
      <c r="D1026" s="152">
        <v>114285714.28571428</v>
      </c>
      <c r="E1026" s="26">
        <f>VLOOKUP(2397,季財報!$A:$H,8,0)</f>
        <v>3</v>
      </c>
      <c r="F1026" s="159">
        <v>3.32E-2</v>
      </c>
      <c r="G1026" s="152">
        <v>4714285714.2857141</v>
      </c>
      <c r="H1026" s="152">
        <v>3100075000</v>
      </c>
      <c r="I1026" s="150">
        <v>1.5507784061719851</v>
      </c>
      <c r="J1026" s="152">
        <v>12.731481481481481</v>
      </c>
    </row>
    <row r="1027" spans="1:10" hidden="1">
      <c r="A1027" s="64">
        <v>1315</v>
      </c>
      <c r="B1027" s="150">
        <v>0.96</v>
      </c>
      <c r="C1027" s="159">
        <v>0.11483253588516747</v>
      </c>
      <c r="D1027" s="152">
        <v>190625000</v>
      </c>
      <c r="E1027" s="26">
        <f>VLOOKUP(1315,季財報!$A:$H,8,0)</f>
        <v>4</v>
      </c>
      <c r="F1027" s="159">
        <v>-2.5666666666666663E-3</v>
      </c>
      <c r="G1027" s="152">
        <v>4327187500</v>
      </c>
      <c r="H1027" s="152">
        <v>2744515000</v>
      </c>
      <c r="I1027" s="150">
        <v>1.5516384190109962</v>
      </c>
      <c r="J1027" s="152">
        <v>50</v>
      </c>
    </row>
    <row r="1028" spans="1:10" hidden="1">
      <c r="A1028" s="64">
        <v>6210</v>
      </c>
      <c r="B1028" s="52">
        <v>1.43</v>
      </c>
      <c r="C1028" s="160">
        <v>0.83950617283950613</v>
      </c>
      <c r="D1028" s="157">
        <v>34965034.965034969</v>
      </c>
      <c r="E1028" s="26">
        <f>VLOOKUP(6210,季財報!$A:$H,8,0)</f>
        <v>2</v>
      </c>
      <c r="F1028" s="160">
        <v>3.9749999999999994E-3</v>
      </c>
      <c r="G1028" s="54">
        <v>1573426573.4265735</v>
      </c>
      <c r="H1028" s="54">
        <v>996480000</v>
      </c>
      <c r="I1028" s="65">
        <v>1.5560193845713735</v>
      </c>
      <c r="J1028" s="162">
        <v>9.3711435623200341</v>
      </c>
    </row>
    <row r="1029" spans="1:10" hidden="1">
      <c r="A1029" s="64">
        <v>4987</v>
      </c>
      <c r="B1029" s="52">
        <v>2.94</v>
      </c>
      <c r="C1029" s="160">
        <v>0.79487179487179482</v>
      </c>
      <c r="D1029" s="157">
        <v>25170068.027210884</v>
      </c>
      <c r="E1029" s="26">
        <f>VLOOKUP(4987,季財報!$A:$H,8,0)</f>
        <v>2</v>
      </c>
      <c r="F1029" s="160">
        <v>-1.5166666666666662E-2</v>
      </c>
      <c r="G1029" s="54">
        <v>1799659863.9455781</v>
      </c>
      <c r="H1029" s="54">
        <v>1125887000</v>
      </c>
      <c r="I1029" s="65">
        <v>1.5637277486802059</v>
      </c>
      <c r="J1029" s="162">
        <v>7.6489466754443711</v>
      </c>
    </row>
    <row r="1030" spans="1:10" hidden="1">
      <c r="A1030" s="64">
        <v>6261</v>
      </c>
      <c r="B1030" s="52">
        <v>0.8</v>
      </c>
      <c r="C1030" s="160">
        <v>0.94979079497907948</v>
      </c>
      <c r="D1030" s="157">
        <v>127500000</v>
      </c>
      <c r="E1030" s="26">
        <f>VLOOKUP(6261,季財報!$A:$H,8,0)</f>
        <v>1</v>
      </c>
      <c r="F1030" s="160">
        <v>1.3691666666666671E-2</v>
      </c>
      <c r="G1030" s="54">
        <v>5845875000</v>
      </c>
      <c r="H1030" s="54">
        <v>3731231000</v>
      </c>
      <c r="I1030" s="65">
        <v>1.5673423327410765</v>
      </c>
      <c r="J1030" s="162">
        <v>15.085558920704845</v>
      </c>
    </row>
    <row r="1031" spans="1:10" hidden="1">
      <c r="A1031" s="64">
        <v>6128</v>
      </c>
      <c r="B1031" s="52">
        <v>1</v>
      </c>
      <c r="C1031" s="160">
        <v>0.92121212121212126</v>
      </c>
      <c r="D1031" s="157">
        <v>91000000</v>
      </c>
      <c r="E1031" s="26">
        <f>VLOOKUP(6128,季財報!$A:$H,8,0)</f>
        <v>3</v>
      </c>
      <c r="F1031" s="160">
        <v>2.9366666666666666E-2</v>
      </c>
      <c r="G1031" s="54">
        <v>3003000000</v>
      </c>
      <c r="H1031" s="54">
        <v>1935223000</v>
      </c>
      <c r="I1031" s="65">
        <v>1.5704358521667099</v>
      </c>
      <c r="J1031" s="162">
        <v>8.9555921052631575</v>
      </c>
    </row>
    <row r="1032" spans="1:10" hidden="1">
      <c r="A1032" s="64">
        <v>2729</v>
      </c>
      <c r="B1032" s="150">
        <v>3.13</v>
      </c>
      <c r="C1032" s="159">
        <v>0.95512820512820518</v>
      </c>
      <c r="D1032" s="152">
        <v>23322683.706070289</v>
      </c>
      <c r="E1032" s="26">
        <f>VLOOKUP(2729,季財報!$A:$H,8,0)</f>
        <v>2</v>
      </c>
      <c r="F1032" s="159">
        <v>2.8716666666666668E-2</v>
      </c>
      <c r="G1032" s="152">
        <v>5270926517.5718851</v>
      </c>
      <c r="H1032" s="152">
        <v>3399063000</v>
      </c>
      <c r="I1032" s="150">
        <v>1.571148915329329</v>
      </c>
      <c r="J1032" s="152">
        <v>18.899157321440057</v>
      </c>
    </row>
    <row r="1033" spans="1:10" hidden="1">
      <c r="A1033" s="64">
        <v>6217</v>
      </c>
      <c r="B1033" s="52">
        <v>1.39</v>
      </c>
      <c r="C1033" s="160">
        <v>0.70175438596491224</v>
      </c>
      <c r="D1033" s="157">
        <v>58273381.29496403</v>
      </c>
      <c r="E1033" s="26">
        <f>VLOOKUP(6217,季財報!$A:$H,8,0)</f>
        <v>5</v>
      </c>
      <c r="F1033" s="160">
        <v>3.2533333333333331E-2</v>
      </c>
      <c r="G1033" s="54">
        <v>2703884892.0863309</v>
      </c>
      <c r="H1033" s="54">
        <v>1744709000</v>
      </c>
      <c r="I1033" s="65">
        <v>1.578808551437735</v>
      </c>
      <c r="J1033" s="162">
        <v>11.892086330935252</v>
      </c>
    </row>
    <row r="1034" spans="1:10" hidden="1">
      <c r="A1034" s="64">
        <v>3559</v>
      </c>
      <c r="B1034" s="150">
        <v>0.65</v>
      </c>
      <c r="C1034" s="159">
        <v>0.93877551020408168</v>
      </c>
      <c r="D1034" s="152">
        <v>120000000</v>
      </c>
      <c r="E1034" s="26">
        <f>VLOOKUP(3559,季財報!$A:$H,8,0)</f>
        <v>3</v>
      </c>
      <c r="F1034" s="159">
        <v>2.7749999999999993E-3</v>
      </c>
      <c r="G1034" s="152">
        <v>2412000000</v>
      </c>
      <c r="H1034" s="152">
        <v>1524589000</v>
      </c>
      <c r="I1034" s="150">
        <v>1.5831477466727315</v>
      </c>
      <c r="J1034" s="152">
        <v>8.2349498327759196</v>
      </c>
    </row>
    <row r="1035" spans="1:10" hidden="1">
      <c r="A1035" s="64">
        <v>5533</v>
      </c>
      <c r="B1035" s="52">
        <v>0.34</v>
      </c>
      <c r="C1035" s="160">
        <v>1</v>
      </c>
      <c r="D1035" s="157">
        <v>267647058.82352939</v>
      </c>
      <c r="E1035" s="26">
        <f>VLOOKUP(5533,季財報!$A:$H,8,0)</f>
        <v>1</v>
      </c>
      <c r="F1035" s="160">
        <v>0.7132666666666666</v>
      </c>
      <c r="G1035" s="54">
        <v>4509852941.1764708</v>
      </c>
      <c r="H1035" s="54">
        <v>2669789000</v>
      </c>
      <c r="I1035" s="65">
        <v>1.589028839585821</v>
      </c>
      <c r="J1035" s="162">
        <v>12.389705882352942</v>
      </c>
    </row>
    <row r="1036" spans="1:10" hidden="1">
      <c r="A1036" s="64">
        <v>4995</v>
      </c>
      <c r="B1036" s="52">
        <v>0.75</v>
      </c>
      <c r="C1036" s="160">
        <v>0.76923076923076927</v>
      </c>
      <c r="D1036" s="157">
        <v>34666666.666666664</v>
      </c>
      <c r="E1036" s="26">
        <f>VLOOKUP(4995,季財報!$A:$H,8,0)</f>
        <v>2</v>
      </c>
      <c r="F1036" s="160">
        <v>1.3566666666666666E-2</v>
      </c>
      <c r="G1036" s="54">
        <v>1300000000</v>
      </c>
      <c r="H1036" s="54">
        <v>806777000</v>
      </c>
      <c r="I1036" s="65">
        <v>1.5978642700341452</v>
      </c>
      <c r="J1036" s="162">
        <v>16.25</v>
      </c>
    </row>
    <row r="1037" spans="1:10" hidden="1">
      <c r="A1037" s="64">
        <v>4432</v>
      </c>
      <c r="B1037" s="52">
        <v>2.16</v>
      </c>
      <c r="C1037" s="160">
        <v>0.65306122448979587</v>
      </c>
      <c r="D1037" s="157">
        <v>50462962.962962963</v>
      </c>
      <c r="E1037" s="26">
        <f>VLOOKUP(4432,季財報!$A:$H,8,0)</f>
        <v>3</v>
      </c>
      <c r="F1037" s="160">
        <v>3.143333333333332E-2</v>
      </c>
      <c r="G1037" s="54">
        <v>3809953703.7037039</v>
      </c>
      <c r="H1037" s="54">
        <v>2381006000</v>
      </c>
      <c r="I1037" s="65">
        <v>1.6015792788029053</v>
      </c>
      <c r="J1037" s="162">
        <v>13.380714699074074</v>
      </c>
    </row>
    <row r="1038" spans="1:10" hidden="1">
      <c r="A1038" s="64">
        <v>3665</v>
      </c>
      <c r="B1038" s="150">
        <v>2.27</v>
      </c>
      <c r="C1038" s="159">
        <v>0.72148541114058351</v>
      </c>
      <c r="D1038" s="152">
        <v>91629955.947136566</v>
      </c>
      <c r="E1038" s="26">
        <f>VLOOKUP(3665,季財報!$A:$H,8,0)</f>
        <v>3</v>
      </c>
      <c r="F1038" s="159">
        <v>2.3650000000000001E-2</v>
      </c>
      <c r="G1038" s="152">
        <v>13194713656.387665</v>
      </c>
      <c r="H1038" s="152">
        <v>8246294000</v>
      </c>
      <c r="I1038" s="150">
        <v>1.6286406099564454</v>
      </c>
      <c r="J1038" s="152">
        <v>21.981083182171549</v>
      </c>
    </row>
    <row r="1039" spans="1:10" hidden="1">
      <c r="A1039" s="64">
        <v>4111</v>
      </c>
      <c r="B1039" s="52">
        <v>0.32</v>
      </c>
      <c r="C1039" s="160">
        <v>0.83870967741935487</v>
      </c>
      <c r="D1039" s="157">
        <v>56250000</v>
      </c>
      <c r="E1039" s="26">
        <f>VLOOKUP(4111,季財報!$A:$H,8,0)</f>
        <v>3</v>
      </c>
      <c r="F1039" s="160">
        <v>1.6491666666666668E-2</v>
      </c>
      <c r="G1039" s="54">
        <v>1490625000</v>
      </c>
      <c r="H1039" s="54">
        <v>927958000</v>
      </c>
      <c r="I1039" s="65">
        <v>1.630031843372598</v>
      </c>
      <c r="J1039" s="162">
        <v>24.68449519230769</v>
      </c>
    </row>
    <row r="1040" spans="1:10" hidden="1">
      <c r="A1040" s="64">
        <v>4984</v>
      </c>
      <c r="B1040" s="52">
        <v>1.49</v>
      </c>
      <c r="C1040" s="160">
        <v>0.75862068965517238</v>
      </c>
      <c r="D1040" s="157">
        <v>45637583.892617449</v>
      </c>
      <c r="E1040" s="26">
        <f>VLOOKUP(4984,季財報!$A:$H,8,0)</f>
        <v>4</v>
      </c>
      <c r="F1040" s="160">
        <v>3.0941666666666662E-2</v>
      </c>
      <c r="G1040" s="54">
        <v>1962416107.3825502</v>
      </c>
      <c r="H1040" s="54">
        <v>1221673000</v>
      </c>
      <c r="I1040" s="65">
        <v>1.6370342656409567</v>
      </c>
      <c r="J1040" s="162">
        <v>9.5103721781574126</v>
      </c>
    </row>
    <row r="1041" spans="1:10" hidden="1">
      <c r="A1041" s="64">
        <v>2456</v>
      </c>
      <c r="B1041" s="150">
        <v>1.2</v>
      </c>
      <c r="C1041" s="159">
        <v>0.87804878048780488</v>
      </c>
      <c r="D1041" s="152">
        <v>127500000</v>
      </c>
      <c r="E1041" s="26">
        <f>VLOOKUP(2456,季財報!$A:$H,8,0)</f>
        <v>4</v>
      </c>
      <c r="F1041" s="159">
        <v>2.2666666666666668E-2</v>
      </c>
      <c r="G1041" s="152">
        <v>7650000000</v>
      </c>
      <c r="H1041" s="152">
        <v>4740192000</v>
      </c>
      <c r="I1041" s="150">
        <v>1.6372416181254845</v>
      </c>
      <c r="J1041" s="152">
        <v>14.236111111111111</v>
      </c>
    </row>
    <row r="1042" spans="1:10" hidden="1">
      <c r="A1042" s="64">
        <v>3050</v>
      </c>
      <c r="B1042" s="150">
        <v>0.14000000000000001</v>
      </c>
      <c r="C1042" s="159">
        <v>1.3157894736842105E-2</v>
      </c>
      <c r="D1042" s="152">
        <v>171428571.4285714</v>
      </c>
      <c r="E1042" s="26">
        <f>VLOOKUP(3050,季財報!$A:$H,8,0)</f>
        <v>2</v>
      </c>
      <c r="F1042" s="159">
        <v>1.3499999999999998E-2</v>
      </c>
      <c r="G1042" s="152">
        <v>1510285714.2857141</v>
      </c>
      <c r="H1042" s="152">
        <v>927991000</v>
      </c>
      <c r="I1042" s="150">
        <v>1.6410958210888884</v>
      </c>
      <c r="J1042" s="152">
        <v>50</v>
      </c>
    </row>
    <row r="1043" spans="1:10" hidden="1">
      <c r="A1043" s="64">
        <v>4144</v>
      </c>
      <c r="B1043" s="52">
        <v>0.85</v>
      </c>
      <c r="C1043" s="160">
        <v>0.75342465753424659</v>
      </c>
      <c r="D1043" s="157">
        <v>77647058.823529407</v>
      </c>
      <c r="E1043" s="26">
        <f>VLOOKUP(4144,季財報!$A:$H,8,0)</f>
        <v>3</v>
      </c>
      <c r="F1043" s="160">
        <v>5.8341666666666681E-2</v>
      </c>
      <c r="G1043" s="54">
        <v>4379294117.6470585</v>
      </c>
      <c r="H1043" s="54">
        <v>2710303000</v>
      </c>
      <c r="I1043" s="65">
        <v>1.6419019880140802</v>
      </c>
      <c r="J1043" s="162">
        <v>22.017112299465239</v>
      </c>
    </row>
    <row r="1044" spans="1:10" hidden="1">
      <c r="A1044" s="64">
        <v>6271</v>
      </c>
      <c r="B1044" s="52">
        <v>2.44</v>
      </c>
      <c r="C1044" s="160">
        <v>0.88487972508591062</v>
      </c>
      <c r="D1044" s="157">
        <v>162704918.03278688</v>
      </c>
      <c r="E1044" s="26">
        <f>VLOOKUP(6271,季財報!$A:$H,8,0)</f>
        <v>2</v>
      </c>
      <c r="F1044" s="160">
        <v>5.3666666666666698E-3</v>
      </c>
      <c r="G1044" s="54">
        <v>12690983606.557377</v>
      </c>
      <c r="H1044" s="54">
        <v>7712089000</v>
      </c>
      <c r="I1044" s="65">
        <v>1.6432773872331485</v>
      </c>
      <c r="J1044" s="162">
        <v>9.0315136081489733</v>
      </c>
    </row>
    <row r="1045" spans="1:10" hidden="1">
      <c r="A1045" s="64">
        <v>5230</v>
      </c>
      <c r="B1045" s="52">
        <v>0.72</v>
      </c>
      <c r="C1045" s="160">
        <v>1</v>
      </c>
      <c r="D1045" s="157">
        <v>47222222.222222224</v>
      </c>
      <c r="E1045" s="26">
        <f>VLOOKUP(5230,季財報!$A:$H,8,0)</f>
        <v>3</v>
      </c>
      <c r="F1045" s="160">
        <v>4.8800000000000003E-2</v>
      </c>
      <c r="G1045" s="54">
        <v>2325694444.4444447</v>
      </c>
      <c r="H1045" s="54">
        <v>1433446000</v>
      </c>
      <c r="I1045" s="65">
        <v>1.6492976759608065</v>
      </c>
      <c r="J1045" s="162">
        <v>17.100694444444446</v>
      </c>
    </row>
    <row r="1046" spans="1:10" hidden="1">
      <c r="A1046" s="64">
        <v>8222</v>
      </c>
      <c r="B1046" s="52">
        <v>0.44</v>
      </c>
      <c r="C1046" s="160">
        <v>0.70588235294117652</v>
      </c>
      <c r="D1046" s="157">
        <v>68181818.181818187</v>
      </c>
      <c r="E1046" s="26">
        <f>VLOOKUP(8222,季財報!$A:$H,8,0)</f>
        <v>3</v>
      </c>
      <c r="F1046" s="160">
        <v>1.9675000000000002E-2</v>
      </c>
      <c r="G1046" s="54">
        <v>1442045454.5454545</v>
      </c>
      <c r="H1046" s="54">
        <v>876326000</v>
      </c>
      <c r="I1046" s="65">
        <v>1.6524787024273648</v>
      </c>
      <c r="J1046" s="162">
        <v>17.024147727272727</v>
      </c>
    </row>
    <row r="1047" spans="1:10" hidden="1">
      <c r="A1047" s="64">
        <v>2723</v>
      </c>
      <c r="B1047" s="150">
        <v>2.93</v>
      </c>
      <c r="C1047" s="159">
        <v>1</v>
      </c>
      <c r="D1047" s="152">
        <v>141296928.32764503</v>
      </c>
      <c r="E1047" s="26">
        <f>VLOOKUP(2723,季財報!$A:$H,8,0)</f>
        <v>5</v>
      </c>
      <c r="F1047" s="159">
        <v>1.5191666666666668E-2</v>
      </c>
      <c r="G1047" s="152">
        <v>33204778156.996582</v>
      </c>
      <c r="H1047" s="152">
        <v>20300966000</v>
      </c>
      <c r="I1047" s="150">
        <v>1.6543657440219768</v>
      </c>
      <c r="J1047" s="152">
        <v>20.051194539249146</v>
      </c>
    </row>
    <row r="1048" spans="1:10" hidden="1">
      <c r="A1048" s="64">
        <v>3218</v>
      </c>
      <c r="B1048" s="150">
        <v>0.37</v>
      </c>
      <c r="C1048" s="159">
        <v>0.66666666666666663</v>
      </c>
      <c r="D1048" s="152">
        <v>67567567.567567572</v>
      </c>
      <c r="E1048" s="26">
        <f>VLOOKUP(3218,季財報!$A:$H,8,0)</f>
        <v>4</v>
      </c>
      <c r="F1048" s="159">
        <v>-2.4249999999999988E-3</v>
      </c>
      <c r="G1048" s="152">
        <v>1675675675.6756759</v>
      </c>
      <c r="H1048" s="152">
        <v>1008765000</v>
      </c>
      <c r="I1048" s="150">
        <v>1.6544458268258466</v>
      </c>
      <c r="J1048" s="152">
        <v>25.135135135135137</v>
      </c>
    </row>
    <row r="1049" spans="1:10" hidden="1">
      <c r="A1049" s="64">
        <v>8906</v>
      </c>
      <c r="B1049" s="52">
        <v>-0.02</v>
      </c>
      <c r="C1049" s="160">
        <v>1</v>
      </c>
      <c r="D1049" s="157">
        <v>50000000</v>
      </c>
      <c r="E1049" s="26">
        <f>VLOOKUP(8906,季財報!$A:$H,8,0)</f>
        <v>2</v>
      </c>
      <c r="F1049" s="160">
        <v>5.2266666666666663E-2</v>
      </c>
      <c r="G1049" s="54">
        <v>349500000</v>
      </c>
      <c r="H1049" s="54">
        <v>216376000</v>
      </c>
      <c r="I1049" s="65">
        <v>1.663232333807636</v>
      </c>
      <c r="J1049" s="162">
        <v>0</v>
      </c>
    </row>
    <row r="1050" spans="1:10" hidden="1">
      <c r="A1050" s="64">
        <v>3593</v>
      </c>
      <c r="B1050" s="150">
        <v>-0.18</v>
      </c>
      <c r="C1050" s="159">
        <v>1</v>
      </c>
      <c r="D1050" s="152">
        <v>111111111.11111112</v>
      </c>
      <c r="E1050" s="26">
        <f>VLOOKUP(3593,季財報!$A:$H,8,0)</f>
        <v>3</v>
      </c>
      <c r="F1050" s="159">
        <v>0.45922500000000005</v>
      </c>
      <c r="G1050" s="152">
        <v>977777777.77777791</v>
      </c>
      <c r="H1050" s="152">
        <v>638715000</v>
      </c>
      <c r="I1050" s="150">
        <v>1.6678882052442576</v>
      </c>
      <c r="J1050" s="152">
        <v>0</v>
      </c>
    </row>
    <row r="1051" spans="1:10" hidden="1">
      <c r="A1051" s="64">
        <v>4530</v>
      </c>
      <c r="B1051" s="52">
        <v>0.09</v>
      </c>
      <c r="C1051" s="160">
        <v>0.9285714285714286</v>
      </c>
      <c r="D1051" s="157">
        <v>22222222.222222224</v>
      </c>
      <c r="E1051" s="26">
        <f>VLOOKUP(4530,季財報!$A:$H,8,0)</f>
        <v>3</v>
      </c>
      <c r="F1051" s="160">
        <v>0.23000833333333334</v>
      </c>
      <c r="G1051" s="54">
        <v>109777777.77777779</v>
      </c>
      <c r="H1051" s="54">
        <v>66822000</v>
      </c>
      <c r="I1051" s="65">
        <v>1.6693954862114355</v>
      </c>
      <c r="J1051" s="162">
        <v>14.777777777777779</v>
      </c>
    </row>
    <row r="1052" spans="1:10" hidden="1">
      <c r="A1052" s="64">
        <v>9929</v>
      </c>
      <c r="B1052" s="52">
        <v>-0.32</v>
      </c>
      <c r="C1052" s="160">
        <v>0.83333333333333337</v>
      </c>
      <c r="D1052" s="157">
        <v>131250000</v>
      </c>
      <c r="E1052" s="26">
        <f>VLOOKUP(9929,季財報!$A:$H,8,0)</f>
        <v>3</v>
      </c>
      <c r="F1052" s="160">
        <v>3.316666666666667E-3</v>
      </c>
      <c r="G1052" s="54">
        <v>1890000000</v>
      </c>
      <c r="H1052" s="54">
        <v>1128373000</v>
      </c>
      <c r="I1052" s="65">
        <v>1.6697366851751236</v>
      </c>
      <c r="J1052" s="162">
        <v>0</v>
      </c>
    </row>
    <row r="1053" spans="1:10" hidden="1">
      <c r="A1053" s="64">
        <v>2641</v>
      </c>
      <c r="B1053" s="150">
        <v>0.02</v>
      </c>
      <c r="C1053" s="159">
        <v>1</v>
      </c>
      <c r="D1053" s="152">
        <v>150000000</v>
      </c>
      <c r="E1053" s="26">
        <f>VLOOKUP(2641,季財報!$A:$H,8,0)</f>
        <v>2</v>
      </c>
      <c r="F1053" s="159">
        <v>-5.2333333333333303E-3</v>
      </c>
      <c r="G1053" s="152">
        <v>1269000000.0000002</v>
      </c>
      <c r="H1053" s="152">
        <v>748116000</v>
      </c>
      <c r="I1053" s="150">
        <v>1.6715161270352259</v>
      </c>
      <c r="J1053" s="152">
        <v>50</v>
      </c>
    </row>
    <row r="1054" spans="1:10" hidden="1">
      <c r="A1054" s="64">
        <v>8424</v>
      </c>
      <c r="B1054" s="52">
        <v>0.96</v>
      </c>
      <c r="C1054" s="160">
        <v>0.87323943661971826</v>
      </c>
      <c r="D1054" s="157">
        <v>36458333.333333336</v>
      </c>
      <c r="E1054" s="26">
        <f>VLOOKUP(8424,季財報!$A:$H,8,0)</f>
        <v>1</v>
      </c>
      <c r="F1054" s="160">
        <v>1.4874999999999998E-2</v>
      </c>
      <c r="G1054" s="54">
        <v>1421875000</v>
      </c>
      <c r="H1054" s="54">
        <v>848527000</v>
      </c>
      <c r="I1054" s="65">
        <v>1.6772457251245658</v>
      </c>
      <c r="J1054" s="162">
        <v>11.63054435483871</v>
      </c>
    </row>
    <row r="1055" spans="1:10" hidden="1">
      <c r="A1055" s="64">
        <v>3265</v>
      </c>
      <c r="B1055" s="150">
        <v>-0.89</v>
      </c>
      <c r="C1055" s="159">
        <v>0.73611111111111116</v>
      </c>
      <c r="D1055" s="152">
        <v>135955056.17977527</v>
      </c>
      <c r="E1055" s="26">
        <f>VLOOKUP(3265,季財報!$A:$H,8,0)</f>
        <v>4</v>
      </c>
      <c r="F1055" s="159">
        <v>1.6875000000000001E-2</v>
      </c>
      <c r="G1055" s="152">
        <v>2834662921.3483148</v>
      </c>
      <c r="H1055" s="152">
        <v>1718908000</v>
      </c>
      <c r="I1055" s="150">
        <v>1.6822046809118067</v>
      </c>
      <c r="J1055" s="152">
        <v>0</v>
      </c>
    </row>
    <row r="1056" spans="1:10" hidden="1">
      <c r="A1056" s="64">
        <v>3264</v>
      </c>
      <c r="B1056" s="150">
        <v>0.66</v>
      </c>
      <c r="C1056" s="159">
        <v>0.93798449612403101</v>
      </c>
      <c r="D1056" s="152">
        <v>463636363.63636363</v>
      </c>
      <c r="E1056" s="26">
        <f>VLOOKUP(3264,季財報!$A:$H,8,0)</f>
        <v>4</v>
      </c>
      <c r="F1056" s="159">
        <v>-1.1500000000000002E-2</v>
      </c>
      <c r="G1056" s="152">
        <v>10246363636.363636</v>
      </c>
      <c r="H1056" s="152">
        <v>6001638000</v>
      </c>
      <c r="I1056" s="150">
        <v>1.6851679296530078</v>
      </c>
      <c r="J1056" s="152">
        <v>8.9246806912096179</v>
      </c>
    </row>
    <row r="1057" spans="1:10" hidden="1">
      <c r="A1057" s="64">
        <v>8261</v>
      </c>
      <c r="B1057" s="52">
        <v>0.33</v>
      </c>
      <c r="C1057" s="160">
        <v>0.72727272727272729</v>
      </c>
      <c r="D1057" s="157">
        <v>96969696.969696969</v>
      </c>
      <c r="E1057" s="26">
        <f>VLOOKUP(8261,季財報!$A:$H,8,0)</f>
        <v>3</v>
      </c>
      <c r="F1057" s="160">
        <v>-2.0600000000000004E-2</v>
      </c>
      <c r="G1057" s="54">
        <v>2787878787.878788</v>
      </c>
      <c r="H1057" s="54">
        <v>1602507000</v>
      </c>
      <c r="I1057" s="65">
        <v>1.688991927187705</v>
      </c>
      <c r="J1057" s="162">
        <v>29.947916666666664</v>
      </c>
    </row>
    <row r="1058" spans="1:10" hidden="1">
      <c r="A1058" s="64">
        <v>3374</v>
      </c>
      <c r="B1058" s="150">
        <v>-7.0000000000000007E-2</v>
      </c>
      <c r="C1058" s="159">
        <v>1</v>
      </c>
      <c r="D1058" s="152">
        <v>257142857.1428571</v>
      </c>
      <c r="E1058" s="26">
        <f>VLOOKUP(3374,季財報!$A:$H,8,0)</f>
        <v>0</v>
      </c>
      <c r="F1058" s="159">
        <v>-7.9750000000000012E-3</v>
      </c>
      <c r="G1058" s="152">
        <v>8807142857.1428566</v>
      </c>
      <c r="H1058" s="152">
        <v>5133581000</v>
      </c>
      <c r="I1058" s="150">
        <v>1.6895902358621377</v>
      </c>
      <c r="J1058" s="152">
        <v>0</v>
      </c>
    </row>
    <row r="1059" spans="1:10" hidden="1">
      <c r="A1059" s="64">
        <v>5301</v>
      </c>
      <c r="B1059" s="52">
        <v>-0.23</v>
      </c>
      <c r="C1059" s="160">
        <v>0.16666666666666666</v>
      </c>
      <c r="D1059" s="157">
        <v>100000000</v>
      </c>
      <c r="E1059" s="26">
        <f>VLOOKUP(5301,季財報!$A:$H,8,0)</f>
        <v>0</v>
      </c>
      <c r="F1059" s="160">
        <v>2.7091666666666663E-2</v>
      </c>
      <c r="G1059" s="54">
        <v>3879999999.9999995</v>
      </c>
      <c r="H1059" s="54">
        <v>2323547000</v>
      </c>
      <c r="I1059" s="65">
        <v>1.6911129833455878</v>
      </c>
      <c r="J1059" s="162">
        <v>0</v>
      </c>
    </row>
    <row r="1060" spans="1:10" hidden="1">
      <c r="A1060" s="64">
        <v>2637</v>
      </c>
      <c r="B1060" s="150">
        <v>1.43</v>
      </c>
      <c r="C1060" s="159">
        <v>0.94871794871794868</v>
      </c>
      <c r="D1060" s="152">
        <v>507692307.69230771</v>
      </c>
      <c r="E1060" s="26">
        <f>VLOOKUP(2637,季財報!$A:$H,8,0)</f>
        <v>6</v>
      </c>
      <c r="F1060" s="159">
        <v>1.6033333333333333E-2</v>
      </c>
      <c r="G1060" s="152">
        <v>18226153846.153847</v>
      </c>
      <c r="H1060" s="152">
        <v>10888987000</v>
      </c>
      <c r="I1060" s="150">
        <v>1.6980835413672006</v>
      </c>
      <c r="J1060" s="152">
        <v>6.6154791154791166</v>
      </c>
    </row>
    <row r="1061" spans="1:10" hidden="1">
      <c r="A1061" s="64">
        <v>5871</v>
      </c>
      <c r="B1061" s="52">
        <v>1.52</v>
      </c>
      <c r="C1061" s="160">
        <v>0.81942425123582441</v>
      </c>
      <c r="D1061" s="157">
        <v>1139473684.2105262</v>
      </c>
      <c r="E1061" s="26">
        <f>VLOOKUP(5871,季財報!$A:$H,8,0)</f>
        <v>4</v>
      </c>
      <c r="F1061" s="160">
        <v>8.0750000000000006E-3</v>
      </c>
      <c r="G1061" s="54">
        <v>61417631578.947365</v>
      </c>
      <c r="H1061" s="54">
        <v>36060126000</v>
      </c>
      <c r="I1061" s="65">
        <v>1.7146174084863703</v>
      </c>
      <c r="J1061" s="162">
        <v>10.8187322569198</v>
      </c>
    </row>
    <row r="1062" spans="1:10" hidden="1">
      <c r="A1062" s="64">
        <v>3229</v>
      </c>
      <c r="B1062" s="150">
        <v>-0.19</v>
      </c>
      <c r="C1062" s="159">
        <v>0.91304347826086951</v>
      </c>
      <c r="D1062" s="152">
        <v>94736842.105263159</v>
      </c>
      <c r="E1062" s="26">
        <f>VLOOKUP(3229,季財報!$A:$H,8,0)</f>
        <v>0</v>
      </c>
      <c r="F1062" s="159">
        <v>5.7200000000000001E-2</v>
      </c>
      <c r="G1062" s="152">
        <v>1359473684.2105262</v>
      </c>
      <c r="H1062" s="152">
        <v>785151000</v>
      </c>
      <c r="I1062" s="150">
        <v>1.7163771484616395</v>
      </c>
      <c r="J1062" s="152">
        <v>0</v>
      </c>
    </row>
    <row r="1063" spans="1:10" hidden="1">
      <c r="A1063" s="64">
        <v>1308</v>
      </c>
      <c r="B1063" s="150">
        <v>0.21</v>
      </c>
      <c r="C1063" s="159">
        <v>0.55633802816901412</v>
      </c>
      <c r="D1063" s="152">
        <v>495238095.23809528</v>
      </c>
      <c r="E1063" s="26">
        <f>VLOOKUP(1308,季財報!$A:$H,8,0)</f>
        <v>1</v>
      </c>
      <c r="F1063" s="159">
        <v>2.2175000000000004E-2</v>
      </c>
      <c r="G1063" s="152">
        <v>8493333333.333333</v>
      </c>
      <c r="H1063" s="152">
        <v>5030475000</v>
      </c>
      <c r="I1063" s="150">
        <v>1.7184800543007324</v>
      </c>
      <c r="J1063" s="152">
        <v>36.698312236286917</v>
      </c>
    </row>
    <row r="1064" spans="1:10" hidden="1">
      <c r="A1064" s="64">
        <v>3490</v>
      </c>
      <c r="B1064" s="150">
        <v>1.31</v>
      </c>
      <c r="C1064" s="159">
        <v>0.93004115226337447</v>
      </c>
      <c r="D1064" s="152">
        <v>61832061.068702288</v>
      </c>
      <c r="E1064" s="26">
        <f>VLOOKUP(3490,季財報!$A:$H,8,0)</f>
        <v>1</v>
      </c>
      <c r="F1064" s="159">
        <v>-3.1750000000000007E-2</v>
      </c>
      <c r="G1064" s="152">
        <v>4247862595.4198475</v>
      </c>
      <c r="H1064" s="152">
        <v>2334247000</v>
      </c>
      <c r="I1064" s="150">
        <v>1.7190252210442718</v>
      </c>
      <c r="J1064" s="152">
        <v>14.096889144092414</v>
      </c>
    </row>
    <row r="1065" spans="1:10" hidden="1">
      <c r="A1065" s="64">
        <v>8024</v>
      </c>
      <c r="B1065" s="52">
        <v>0.01</v>
      </c>
      <c r="C1065" s="160">
        <v>0</v>
      </c>
      <c r="D1065" s="157">
        <v>100000000</v>
      </c>
      <c r="E1065" s="26">
        <f>VLOOKUP(8024,季財報!$A:$H,8,0)</f>
        <v>1</v>
      </c>
      <c r="F1065" s="160">
        <v>1.871666666666667E-2</v>
      </c>
      <c r="G1065" s="54">
        <v>1065000000</v>
      </c>
      <c r="H1065" s="54">
        <v>603712000</v>
      </c>
      <c r="I1065" s="65">
        <v>1.721476428704205</v>
      </c>
      <c r="J1065" s="162">
        <v>0</v>
      </c>
    </row>
    <row r="1066" spans="1:10" hidden="1">
      <c r="A1066" s="64">
        <v>6277</v>
      </c>
      <c r="B1066" s="52">
        <v>1.62</v>
      </c>
      <c r="C1066" s="160">
        <v>0.88484848484848488</v>
      </c>
      <c r="D1066" s="157">
        <v>119753086.41975307</v>
      </c>
      <c r="E1066" s="26">
        <f>VLOOKUP(6277,季財報!$A:$H,8,0)</f>
        <v>2</v>
      </c>
      <c r="F1066" s="160">
        <v>8.5916666666666693E-3</v>
      </c>
      <c r="G1066" s="54">
        <v>8430617283.9506168</v>
      </c>
      <c r="H1066" s="54">
        <v>4906151000</v>
      </c>
      <c r="I1066" s="65">
        <v>1.7232248320695471</v>
      </c>
      <c r="J1066" s="162">
        <v>12.278031456113649</v>
      </c>
    </row>
    <row r="1067" spans="1:10" hidden="1">
      <c r="A1067" s="64">
        <v>3086</v>
      </c>
      <c r="B1067" s="150">
        <v>-0.51</v>
      </c>
      <c r="C1067" s="159">
        <v>0.91803278688524592</v>
      </c>
      <c r="D1067" s="152">
        <v>58823529.411764704</v>
      </c>
      <c r="E1067" s="26">
        <f>VLOOKUP(3086,季財報!$A:$H,8,0)</f>
        <v>3</v>
      </c>
      <c r="F1067" s="159">
        <v>3.443333333333333E-2</v>
      </c>
      <c r="G1067" s="152">
        <v>717647058.82352936</v>
      </c>
      <c r="H1067" s="152">
        <v>418903000</v>
      </c>
      <c r="I1067" s="150">
        <v>1.7245327505731949</v>
      </c>
      <c r="J1067" s="152">
        <v>0</v>
      </c>
    </row>
    <row r="1068" spans="1:10" hidden="1">
      <c r="A1068" s="64">
        <v>4977</v>
      </c>
      <c r="B1068" s="52">
        <v>1.26</v>
      </c>
      <c r="C1068" s="160">
        <v>0.79487179487179482</v>
      </c>
      <c r="D1068" s="157">
        <v>52380952.380952381</v>
      </c>
      <c r="E1068" s="26">
        <f>VLOOKUP(4977,季財報!$A:$H,8,0)</f>
        <v>4</v>
      </c>
      <c r="F1068" s="160">
        <v>1.1924999999999996E-2</v>
      </c>
      <c r="G1068" s="54">
        <v>3006666666.6666665</v>
      </c>
      <c r="H1068" s="54">
        <v>1741155000</v>
      </c>
      <c r="I1068" s="65">
        <v>1.7262877063243947</v>
      </c>
      <c r="J1068" s="162">
        <v>14.327956989247312</v>
      </c>
    </row>
    <row r="1069" spans="1:10" hidden="1">
      <c r="A1069" s="64">
        <v>3615</v>
      </c>
      <c r="B1069" s="150">
        <v>0.45</v>
      </c>
      <c r="C1069" s="159">
        <v>0</v>
      </c>
      <c r="D1069" s="152">
        <v>71111111.111111104</v>
      </c>
      <c r="E1069" s="26">
        <f>VLOOKUP(3615,季財報!$A:$H,8,0)</f>
        <v>4</v>
      </c>
      <c r="F1069" s="159">
        <v>-2.7500000000000003E-3</v>
      </c>
      <c r="G1069" s="152">
        <v>1269333333.3333333</v>
      </c>
      <c r="H1069" s="152">
        <v>726578000</v>
      </c>
      <c r="I1069" s="150">
        <v>1.7355817503214335</v>
      </c>
      <c r="J1069" s="152">
        <v>0</v>
      </c>
    </row>
    <row r="1070" spans="1:10" hidden="1">
      <c r="A1070" s="64">
        <v>5878</v>
      </c>
      <c r="B1070" s="52">
        <v>1.05</v>
      </c>
      <c r="C1070" s="160">
        <v>0.70270270270270274</v>
      </c>
      <c r="D1070" s="157">
        <v>23809523.80952381</v>
      </c>
      <c r="E1070" s="26">
        <f>VLOOKUP(5878,季財報!$A:$H,8,0)</f>
        <v>1</v>
      </c>
      <c r="F1070" s="160">
        <v>9.7983333333333325E-2</v>
      </c>
      <c r="G1070" s="54">
        <v>1009523809.5238096</v>
      </c>
      <c r="H1070" s="54">
        <v>592253000</v>
      </c>
      <c r="I1070" s="65">
        <v>1.7402282489938279</v>
      </c>
      <c r="J1070" s="162">
        <v>14.366300366300363</v>
      </c>
    </row>
    <row r="1071" spans="1:10" hidden="1">
      <c r="A1071" s="64">
        <v>4103</v>
      </c>
      <c r="B1071" s="52">
        <v>2.8</v>
      </c>
      <c r="C1071" s="160">
        <v>0.78328981723237601</v>
      </c>
      <c r="D1071" s="157">
        <v>110000000</v>
      </c>
      <c r="E1071" s="26">
        <f>VLOOKUP(4103,季財報!$A:$H,8,0)</f>
        <v>3</v>
      </c>
      <c r="F1071" s="160">
        <v>5.7566666666666662E-2</v>
      </c>
      <c r="G1071" s="54">
        <v>10692000000</v>
      </c>
      <c r="H1071" s="54">
        <v>6244349000</v>
      </c>
      <c r="I1071" s="65">
        <v>1.7435432477651271</v>
      </c>
      <c r="J1071" s="162">
        <v>11.079642857142858</v>
      </c>
    </row>
    <row r="1072" spans="1:10" hidden="1">
      <c r="A1072" s="64">
        <v>4541</v>
      </c>
      <c r="B1072" s="52">
        <v>0.37</v>
      </c>
      <c r="C1072" s="160">
        <v>0.72222222222222221</v>
      </c>
      <c r="D1072" s="157">
        <v>54054054.054054052</v>
      </c>
      <c r="E1072" s="26">
        <f>VLOOKUP(4541,季財報!$A:$H,8,0)</f>
        <v>2</v>
      </c>
      <c r="F1072" s="160">
        <v>6.7749999999999989E-3</v>
      </c>
      <c r="G1072" s="54">
        <v>1832432432.4324322</v>
      </c>
      <c r="H1072" s="54">
        <v>1051085000</v>
      </c>
      <c r="I1072" s="65">
        <v>1.7454447046850436</v>
      </c>
      <c r="J1072" s="162">
        <v>31.715176715176717</v>
      </c>
    </row>
    <row r="1073" spans="1:10" hidden="1">
      <c r="A1073" s="64">
        <v>6166</v>
      </c>
      <c r="B1073" s="52">
        <v>0.78</v>
      </c>
      <c r="C1073" s="160">
        <v>0.90342679127725856</v>
      </c>
      <c r="D1073" s="157">
        <v>201282051.28205127</v>
      </c>
      <c r="E1073" s="26">
        <f>VLOOKUP(6166,季財報!$A:$H,8,0)</f>
        <v>2</v>
      </c>
      <c r="F1073" s="160">
        <v>3.9999999999999966E-3</v>
      </c>
      <c r="G1073" s="54">
        <v>15820769230.769228</v>
      </c>
      <c r="H1073" s="54">
        <v>8965787000</v>
      </c>
      <c r="I1073" s="65">
        <v>1.7558906023210179</v>
      </c>
      <c r="J1073" s="162">
        <v>27.885278514588858</v>
      </c>
    </row>
    <row r="1074" spans="1:10" hidden="1">
      <c r="A1074" s="64">
        <v>1560</v>
      </c>
      <c r="B1074" s="150">
        <v>1.1000000000000001</v>
      </c>
      <c r="C1074" s="159">
        <v>0.93354430379746833</v>
      </c>
      <c r="D1074" s="152">
        <v>141818181.81818181</v>
      </c>
      <c r="E1074" s="26">
        <f>VLOOKUP(1560,季財報!$A:$H,8,0)</f>
        <v>4</v>
      </c>
      <c r="F1074" s="159">
        <v>-9.9500000000000005E-3</v>
      </c>
      <c r="G1074" s="152">
        <v>7261090909.090909</v>
      </c>
      <c r="H1074" s="152">
        <v>4066001000</v>
      </c>
      <c r="I1074" s="150">
        <v>1.7667751900009974</v>
      </c>
      <c r="J1074" s="152">
        <v>12.464714946070877</v>
      </c>
    </row>
    <row r="1075" spans="1:10" hidden="1">
      <c r="A1075" s="64">
        <v>3016</v>
      </c>
      <c r="B1075" s="150">
        <v>0.26</v>
      </c>
      <c r="C1075" s="159">
        <v>0.30303030303030304</v>
      </c>
      <c r="D1075" s="152">
        <v>92307692.307692304</v>
      </c>
      <c r="E1075" s="26">
        <f>VLOOKUP(3016,季財報!$A:$H,8,0)</f>
        <v>2</v>
      </c>
      <c r="F1075" s="159">
        <v>-9.7999999999999979E-3</v>
      </c>
      <c r="G1075" s="152">
        <v>1463076923.0769229</v>
      </c>
      <c r="H1075" s="152">
        <v>808413000</v>
      </c>
      <c r="I1075" s="150">
        <v>1.7689110260074561</v>
      </c>
      <c r="J1075" s="152">
        <v>50</v>
      </c>
    </row>
    <row r="1076" spans="1:10" hidden="1">
      <c r="A1076" s="64">
        <v>5471</v>
      </c>
      <c r="B1076" s="52">
        <v>0.67</v>
      </c>
      <c r="C1076" s="160">
        <v>0.78367346938775506</v>
      </c>
      <c r="D1076" s="157">
        <v>167164179.10447761</v>
      </c>
      <c r="E1076" s="26">
        <f>VLOOKUP(5471,季財報!$A:$H,8,0)</f>
        <v>1</v>
      </c>
      <c r="F1076" s="160">
        <v>1.3900000000000004E-2</v>
      </c>
      <c r="G1076" s="54">
        <v>5867462686.5671644</v>
      </c>
      <c r="H1076" s="54">
        <v>3282708000</v>
      </c>
      <c r="I1076" s="65">
        <v>1.7700617637279576</v>
      </c>
      <c r="J1076" s="162">
        <v>16.712336753731343</v>
      </c>
    </row>
    <row r="1077" spans="1:10" hidden="1">
      <c r="A1077" s="64">
        <v>3577</v>
      </c>
      <c r="B1077" s="150">
        <v>0.54</v>
      </c>
      <c r="C1077" s="159">
        <v>0.95121951219512191</v>
      </c>
      <c r="D1077" s="152">
        <v>42592592.59259259</v>
      </c>
      <c r="E1077" s="26">
        <f>VLOOKUP(3577,季財報!$A:$H,8,0)</f>
        <v>2</v>
      </c>
      <c r="F1077" s="159">
        <v>2.5341666666666662E-2</v>
      </c>
      <c r="G1077" s="152">
        <v>1284166666.6666665</v>
      </c>
      <c r="H1077" s="152">
        <v>733394000</v>
      </c>
      <c r="I1077" s="150">
        <v>1.7702510516968446</v>
      </c>
      <c r="J1077" s="152">
        <v>14.674145299145298</v>
      </c>
    </row>
    <row r="1078" spans="1:10" hidden="1">
      <c r="A1078" s="64">
        <v>9930</v>
      </c>
      <c r="B1078" s="52">
        <v>0.95</v>
      </c>
      <c r="C1078" s="160">
        <v>0.96912114014251782</v>
      </c>
      <c r="D1078" s="157">
        <v>225263157.89473686</v>
      </c>
      <c r="E1078" s="26">
        <f>VLOOKUP(9930,季財報!$A:$H,8,0)</f>
        <v>3</v>
      </c>
      <c r="F1078" s="160">
        <v>2.9466666666666658E-2</v>
      </c>
      <c r="G1078" s="54">
        <v>13560842105.263159</v>
      </c>
      <c r="H1078" s="54">
        <v>7691801000</v>
      </c>
      <c r="I1078" s="65">
        <v>1.7734695627260717</v>
      </c>
      <c r="J1078" s="162">
        <v>16.346878224974201</v>
      </c>
    </row>
    <row r="1079" spans="1:10" hidden="1">
      <c r="A1079" s="64">
        <v>1325</v>
      </c>
      <c r="B1079" s="150">
        <v>0.36</v>
      </c>
      <c r="C1079" s="159">
        <v>0.56603773584905659</v>
      </c>
      <c r="D1079" s="152">
        <v>100000000</v>
      </c>
      <c r="E1079" s="26">
        <f>VLOOKUP(1325,季財報!$A:$H,8,0)</f>
        <v>3</v>
      </c>
      <c r="F1079" s="159">
        <v>-1.2908333333333336E-2</v>
      </c>
      <c r="G1079" s="152">
        <v>2095000000</v>
      </c>
      <c r="H1079" s="152">
        <v>1139332000</v>
      </c>
      <c r="I1079" s="150">
        <v>1.7749017873557522</v>
      </c>
      <c r="J1079" s="152">
        <v>25.702546296296298</v>
      </c>
    </row>
    <row r="1080" spans="1:10" hidden="1">
      <c r="A1080" s="64">
        <v>8996</v>
      </c>
      <c r="B1080" s="52">
        <v>0.31</v>
      </c>
      <c r="C1080" s="160">
        <v>0.55813953488372092</v>
      </c>
      <c r="D1080" s="157">
        <v>90322580.645161286</v>
      </c>
      <c r="E1080" s="26">
        <f>VLOOKUP(8996,季財報!$A:$H,8,0)</f>
        <v>1</v>
      </c>
      <c r="F1080" s="160">
        <v>1.0841666666666668E-2</v>
      </c>
      <c r="G1080" s="54">
        <v>3721290322.5806451</v>
      </c>
      <c r="H1080" s="54">
        <v>2081892000</v>
      </c>
      <c r="I1080" s="65">
        <v>1.7765461322106679</v>
      </c>
      <c r="J1080" s="162">
        <v>50</v>
      </c>
    </row>
    <row r="1081" spans="1:10" hidden="1">
      <c r="A1081" s="64">
        <v>1316</v>
      </c>
      <c r="B1081" s="150">
        <v>-0.19</v>
      </c>
      <c r="C1081" s="159">
        <v>1</v>
      </c>
      <c r="D1081" s="152">
        <v>157894736.84210527</v>
      </c>
      <c r="E1081" s="26">
        <f>VLOOKUP(1316,季財報!$A:$H,8,0)</f>
        <v>1</v>
      </c>
      <c r="F1081" s="159">
        <v>3.5075000000000009E-2</v>
      </c>
      <c r="G1081" s="152">
        <v>1558421052.6315789</v>
      </c>
      <c r="H1081" s="152">
        <v>864823000</v>
      </c>
      <c r="I1081" s="150">
        <v>1.7776213145500617</v>
      </c>
      <c r="J1081" s="152">
        <v>0</v>
      </c>
    </row>
    <row r="1082" spans="1:10" hidden="1">
      <c r="A1082" s="64">
        <v>3630</v>
      </c>
      <c r="B1082" s="150">
        <v>-1.52</v>
      </c>
      <c r="C1082" s="159">
        <v>1</v>
      </c>
      <c r="D1082" s="152">
        <v>100657894.73684211</v>
      </c>
      <c r="E1082" s="26">
        <f>VLOOKUP(3630,季財報!$A:$H,8,0)</f>
        <v>1</v>
      </c>
      <c r="F1082" s="159">
        <v>5.6733333333333337E-2</v>
      </c>
      <c r="G1082" s="152">
        <v>1691052631.5789475</v>
      </c>
      <c r="H1082" s="152">
        <v>972015000</v>
      </c>
      <c r="I1082" s="150">
        <v>1.7779387188294227</v>
      </c>
      <c r="J1082" s="152">
        <v>0</v>
      </c>
    </row>
    <row r="1083" spans="1:10" hidden="1">
      <c r="A1083" s="64">
        <v>4304</v>
      </c>
      <c r="B1083" s="52">
        <v>-0.38</v>
      </c>
      <c r="C1083" s="160">
        <v>1</v>
      </c>
      <c r="D1083" s="157">
        <v>52631578.947368421</v>
      </c>
      <c r="E1083" s="26">
        <f>VLOOKUP(4304,季財報!$A:$H,8,0)</f>
        <v>0</v>
      </c>
      <c r="F1083" s="160">
        <v>2.523333333333333E-2</v>
      </c>
      <c r="G1083" s="54">
        <v>731578947.36842108</v>
      </c>
      <c r="H1083" s="54">
        <v>408697000</v>
      </c>
      <c r="I1083" s="65">
        <v>1.7792831281077452</v>
      </c>
      <c r="J1083" s="162">
        <v>0</v>
      </c>
    </row>
    <row r="1084" spans="1:10" hidden="1">
      <c r="A1084" s="64">
        <v>6488</v>
      </c>
      <c r="B1084" s="52">
        <v>1.69</v>
      </c>
      <c r="C1084" s="160">
        <v>0.89059674502712483</v>
      </c>
      <c r="D1084" s="157">
        <v>351479289.94082844</v>
      </c>
      <c r="E1084" s="26">
        <f>VLOOKUP(6488,季財報!$A:$H,8,0)</f>
        <v>2</v>
      </c>
      <c r="F1084" s="160">
        <v>-7.6499999999999979E-3</v>
      </c>
      <c r="G1084" s="54">
        <v>27907455621.301781</v>
      </c>
      <c r="H1084" s="54">
        <v>15543830000</v>
      </c>
      <c r="I1084" s="65">
        <v>1.7807193882509649</v>
      </c>
      <c r="J1084" s="162">
        <v>13.188417985762772</v>
      </c>
    </row>
    <row r="1085" spans="1:10" hidden="1">
      <c r="A1085" s="64">
        <v>9910</v>
      </c>
      <c r="B1085" s="52">
        <v>2.1</v>
      </c>
      <c r="C1085" s="160">
        <v>0.8</v>
      </c>
      <c r="D1085" s="157">
        <v>597142857.14285707</v>
      </c>
      <c r="E1085" s="26">
        <f>VLOOKUP(9910,季財報!$A:$H,8,0)</f>
        <v>6</v>
      </c>
      <c r="F1085" s="160">
        <v>1.9591666666666667E-2</v>
      </c>
      <c r="G1085" s="54">
        <v>97334285714.285706</v>
      </c>
      <c r="H1085" s="54">
        <v>55257921000</v>
      </c>
      <c r="I1085" s="65">
        <v>1.7832447362068338</v>
      </c>
      <c r="J1085" s="162">
        <v>24.25595238095238</v>
      </c>
    </row>
    <row r="1086" spans="1:10" hidden="1">
      <c r="A1086" s="64">
        <v>2008</v>
      </c>
      <c r="B1086" s="150">
        <v>-0.28000000000000003</v>
      </c>
      <c r="C1086" s="159">
        <v>0.95867768595041325</v>
      </c>
      <c r="D1086" s="152">
        <v>275000000</v>
      </c>
      <c r="E1086" s="26">
        <f>VLOOKUP(2008,季財報!$A:$H,8,0)</f>
        <v>1</v>
      </c>
      <c r="F1086" s="159">
        <v>-2.9300000000000003E-2</v>
      </c>
      <c r="G1086" s="152">
        <v>2414500000</v>
      </c>
      <c r="H1086" s="152">
        <v>1270252000</v>
      </c>
      <c r="I1086" s="150">
        <v>1.7837394181662907</v>
      </c>
      <c r="J1086" s="152">
        <v>0</v>
      </c>
    </row>
    <row r="1087" spans="1:10" hidden="1">
      <c r="A1087" s="64">
        <v>1423</v>
      </c>
      <c r="B1087" s="150">
        <v>-0.1</v>
      </c>
      <c r="C1087" s="159">
        <v>0</v>
      </c>
      <c r="D1087" s="152">
        <v>170000000</v>
      </c>
      <c r="E1087" s="26">
        <f>VLOOKUP(1423,季財報!$A:$H,8,0)</f>
        <v>1</v>
      </c>
      <c r="F1087" s="159">
        <v>2.4691666666666667E-2</v>
      </c>
      <c r="G1087" s="152">
        <v>1184900000</v>
      </c>
      <c r="H1087" s="152">
        <v>655972000</v>
      </c>
      <c r="I1087" s="150">
        <v>1.785603954278653</v>
      </c>
      <c r="J1087" s="152">
        <v>0</v>
      </c>
    </row>
    <row r="1088" spans="1:10" hidden="1">
      <c r="A1088" s="64">
        <v>6147</v>
      </c>
      <c r="B1088" s="52">
        <v>1.07</v>
      </c>
      <c r="C1088" s="160">
        <v>0.84995507637017076</v>
      </c>
      <c r="D1088" s="157">
        <v>649532710.28037381</v>
      </c>
      <c r="E1088" s="26">
        <f>VLOOKUP(6147,季財報!$A:$H,8,0)</f>
        <v>4</v>
      </c>
      <c r="F1088" s="160">
        <v>-3.758333333333334E-3</v>
      </c>
      <c r="G1088" s="54">
        <v>30885280373.831772</v>
      </c>
      <c r="H1088" s="54">
        <v>17194191000</v>
      </c>
      <c r="I1088" s="65">
        <v>1.7858867238167457</v>
      </c>
      <c r="J1088" s="162">
        <v>13.071059157100233</v>
      </c>
    </row>
    <row r="1089" spans="1:10" hidden="1">
      <c r="A1089" s="64">
        <v>3130</v>
      </c>
      <c r="B1089" s="150">
        <v>2.4900000000000002</v>
      </c>
      <c r="C1089" s="159">
        <v>0.93617021276595747</v>
      </c>
      <c r="D1089" s="152">
        <v>32931726.907630518</v>
      </c>
      <c r="E1089" s="26">
        <f>VLOOKUP(3130,季財報!$A:$H,8,0)</f>
        <v>2</v>
      </c>
      <c r="F1089" s="159">
        <v>5.8583333333333334E-3</v>
      </c>
      <c r="G1089" s="152">
        <v>4610441767.0682726</v>
      </c>
      <c r="H1089" s="152">
        <v>2571366000</v>
      </c>
      <c r="I1089" s="150">
        <v>1.7953720316672783</v>
      </c>
      <c r="J1089" s="152">
        <v>15.014603870025555</v>
      </c>
    </row>
    <row r="1090" spans="1:10" hidden="1">
      <c r="A1090" s="64">
        <v>8931</v>
      </c>
      <c r="B1090" s="52">
        <v>0.3</v>
      </c>
      <c r="C1090" s="160">
        <v>1</v>
      </c>
      <c r="D1090" s="157">
        <v>113333333.33333334</v>
      </c>
      <c r="E1090" s="26">
        <f>VLOOKUP(8931,季財報!$A:$H,8,0)</f>
        <v>4</v>
      </c>
      <c r="F1090" s="160">
        <v>4.2583333333333345E-3</v>
      </c>
      <c r="G1090" s="54">
        <v>2436666666.666667</v>
      </c>
      <c r="H1090" s="54">
        <v>1349209000</v>
      </c>
      <c r="I1090" s="65">
        <v>1.7974091244945558</v>
      </c>
      <c r="J1090" s="162">
        <v>17.916666666666668</v>
      </c>
    </row>
    <row r="1091" spans="1:10" hidden="1">
      <c r="A1091" s="64">
        <v>5288</v>
      </c>
      <c r="B1091" s="52">
        <v>2.42</v>
      </c>
      <c r="C1091" s="160">
        <v>0.74042553191489358</v>
      </c>
      <c r="D1091" s="157">
        <v>64462809.917355374</v>
      </c>
      <c r="E1091" s="26">
        <f>VLOOKUP(5288,季財報!$A:$H,8,0)</f>
        <v>4</v>
      </c>
      <c r="F1091" s="160">
        <v>1.6549999999999995E-2</v>
      </c>
      <c r="G1091" s="54">
        <v>7219834710.7438021</v>
      </c>
      <c r="H1091" s="54">
        <v>4000968000</v>
      </c>
      <c r="I1091" s="65">
        <v>1.8038506624165611</v>
      </c>
      <c r="J1091" s="162">
        <v>15.626484278521898</v>
      </c>
    </row>
    <row r="1092" spans="1:10" hidden="1">
      <c r="A1092" s="64">
        <v>3684</v>
      </c>
      <c r="B1092" s="150">
        <v>1.88</v>
      </c>
      <c r="C1092" s="159">
        <v>0.79365079365079361</v>
      </c>
      <c r="D1092" s="152">
        <v>20744680.851063833</v>
      </c>
      <c r="E1092" s="26">
        <f>VLOOKUP(3684,季財報!$A:$H,8,0)</f>
        <v>3</v>
      </c>
      <c r="F1092" s="159">
        <v>2.1450000000000007E-2</v>
      </c>
      <c r="G1092" s="152">
        <v>1215638297.8723407</v>
      </c>
      <c r="H1092" s="152">
        <v>679388000</v>
      </c>
      <c r="I1092" s="150">
        <v>1.8097019026464951</v>
      </c>
      <c r="J1092" s="152">
        <v>9.818617021276598</v>
      </c>
    </row>
    <row r="1093" spans="1:10" hidden="1">
      <c r="A1093" s="64">
        <v>2640</v>
      </c>
      <c r="B1093" s="150">
        <v>1.06</v>
      </c>
      <c r="C1093" s="159">
        <v>1</v>
      </c>
      <c r="D1093" s="152">
        <v>44339622.641509429</v>
      </c>
      <c r="E1093" s="26">
        <f>VLOOKUP(2640,季財報!$A:$H,8,0)</f>
        <v>0</v>
      </c>
      <c r="F1093" s="159">
        <v>4.5999999999999999E-3</v>
      </c>
      <c r="G1093" s="152">
        <v>2966320754.7169809</v>
      </c>
      <c r="H1093" s="152">
        <v>1640281000</v>
      </c>
      <c r="I1093" s="150">
        <v>1.8099351121885772</v>
      </c>
      <c r="J1093" s="152">
        <v>15.778301886792454</v>
      </c>
    </row>
    <row r="1094" spans="1:10" hidden="1">
      <c r="A1094" s="64">
        <v>6230</v>
      </c>
      <c r="B1094" s="52">
        <v>2.56</v>
      </c>
      <c r="C1094" s="160">
        <v>0.74613003095975228</v>
      </c>
      <c r="D1094" s="157">
        <v>86328125</v>
      </c>
      <c r="E1094" s="26">
        <f>VLOOKUP(6230,季財報!$A:$H,8,0)</f>
        <v>4</v>
      </c>
      <c r="F1094" s="160">
        <v>2.5425E-2</v>
      </c>
      <c r="G1094" s="54">
        <v>10747851562.5</v>
      </c>
      <c r="H1094" s="54">
        <v>6002449000</v>
      </c>
      <c r="I1094" s="65">
        <v>1.8194032116769787</v>
      </c>
      <c r="J1094" s="162">
        <v>16.295019126037346</v>
      </c>
    </row>
    <row r="1095" spans="1:10" hidden="1">
      <c r="A1095" s="64">
        <v>8087</v>
      </c>
      <c r="B1095" s="52">
        <v>-0.03</v>
      </c>
      <c r="C1095" s="160">
        <v>0.5</v>
      </c>
      <c r="D1095" s="157">
        <v>33333333.333333336</v>
      </c>
      <c r="E1095" s="26">
        <f>VLOOKUP(8087,季財報!$A:$H,8,0)</f>
        <v>2</v>
      </c>
      <c r="F1095" s="160">
        <v>4.2533333333333333E-2</v>
      </c>
      <c r="G1095" s="54">
        <v>271000000.00000006</v>
      </c>
      <c r="H1095" s="54">
        <v>148544000</v>
      </c>
      <c r="I1095" s="65">
        <v>1.8233687241801573</v>
      </c>
      <c r="J1095" s="162">
        <v>0</v>
      </c>
    </row>
    <row r="1096" spans="1:10" hidden="1">
      <c r="A1096" s="64">
        <v>3450</v>
      </c>
      <c r="B1096" s="150">
        <v>3.57</v>
      </c>
      <c r="C1096" s="159">
        <v>0.86454849498327757</v>
      </c>
      <c r="D1096" s="152">
        <v>91876750.700280115</v>
      </c>
      <c r="E1096" s="26">
        <f>VLOOKUP(3450,季財報!$A:$H,8,0)</f>
        <v>3</v>
      </c>
      <c r="F1096" s="159">
        <v>1.9724999999999993E-2</v>
      </c>
      <c r="G1096" s="152">
        <v>12541176470.588236</v>
      </c>
      <c r="H1096" s="152">
        <v>6958537000</v>
      </c>
      <c r="I1096" s="150">
        <v>1.8370575136350253</v>
      </c>
      <c r="J1096" s="152">
        <v>11.056434179087496</v>
      </c>
    </row>
    <row r="1097" spans="1:10" hidden="1">
      <c r="A1097" s="64">
        <v>2617</v>
      </c>
      <c r="B1097" s="150">
        <v>0.13</v>
      </c>
      <c r="C1097" s="159">
        <v>0.73684210526315785</v>
      </c>
      <c r="D1097" s="152">
        <v>400000000</v>
      </c>
      <c r="E1097" s="26">
        <f>VLOOKUP(2617,季財報!$A:$H,8,0)</f>
        <v>3</v>
      </c>
      <c r="F1097" s="159">
        <v>-9.4916666666666639E-3</v>
      </c>
      <c r="G1097" s="152">
        <v>5040000000</v>
      </c>
      <c r="H1097" s="152">
        <v>2709289000</v>
      </c>
      <c r="I1097" s="150">
        <v>1.8388878814734599</v>
      </c>
      <c r="J1097" s="152">
        <v>32.884615384615387</v>
      </c>
    </row>
    <row r="1098" spans="1:10" hidden="1">
      <c r="A1098" s="64">
        <v>3624</v>
      </c>
      <c r="B1098" s="150">
        <v>0.7</v>
      </c>
      <c r="C1098" s="159">
        <v>0.45299145299145299</v>
      </c>
      <c r="D1098" s="152">
        <v>117142857.14285715</v>
      </c>
      <c r="E1098" s="26">
        <f>VLOOKUP(3624,季財報!$A:$H,8,0)</f>
        <v>3</v>
      </c>
      <c r="F1098" s="159">
        <v>2.4091666666666667E-2</v>
      </c>
      <c r="G1098" s="152">
        <v>2840714285.7142859</v>
      </c>
      <c r="H1098" s="152">
        <v>1542224000</v>
      </c>
      <c r="I1098" s="150">
        <v>1.852541083603777</v>
      </c>
      <c r="J1098" s="152">
        <v>19.118935309973047</v>
      </c>
    </row>
    <row r="1099" spans="1:10" hidden="1">
      <c r="A1099" s="64">
        <v>6216</v>
      </c>
      <c r="B1099" s="52">
        <v>0.95</v>
      </c>
      <c r="C1099" s="160">
        <v>0.76774193548387093</v>
      </c>
      <c r="D1099" s="157">
        <v>77894736.842105269</v>
      </c>
      <c r="E1099" s="26">
        <f>VLOOKUP(6216,季財報!$A:$H,8,0)</f>
        <v>2</v>
      </c>
      <c r="F1099" s="160">
        <v>2.9475000000000001E-2</v>
      </c>
      <c r="G1099" s="54">
        <v>2087578947.3684213</v>
      </c>
      <c r="H1099" s="54">
        <v>1115198000</v>
      </c>
      <c r="I1099" s="65">
        <v>1.8563633260223584</v>
      </c>
      <c r="J1099" s="162">
        <v>9.1862007961079186</v>
      </c>
    </row>
    <row r="1100" spans="1:10" hidden="1">
      <c r="A1100" s="64">
        <v>9914</v>
      </c>
      <c r="B1100" s="52">
        <v>3.72</v>
      </c>
      <c r="C1100" s="160">
        <v>0.66097704532077695</v>
      </c>
      <c r="D1100" s="157">
        <v>299193548.38709676</v>
      </c>
      <c r="E1100" s="26">
        <f>VLOOKUP(9914,季財報!$A:$H,8,0)</f>
        <v>4</v>
      </c>
      <c r="F1100" s="160">
        <v>9.7583333333333324E-3</v>
      </c>
      <c r="G1100" s="54">
        <v>53256451612.903221</v>
      </c>
      <c r="H1100" s="54">
        <v>28415336000</v>
      </c>
      <c r="I1100" s="65">
        <v>1.860129143089515</v>
      </c>
      <c r="J1100" s="162">
        <v>18.098004576834324</v>
      </c>
    </row>
    <row r="1101" spans="1:10" hidden="1">
      <c r="A1101" s="64">
        <v>6185</v>
      </c>
      <c r="B1101" s="52">
        <v>0.76</v>
      </c>
      <c r="C1101" s="160">
        <v>0.73648648648648651</v>
      </c>
      <c r="D1101" s="157">
        <v>114473684.21052632</v>
      </c>
      <c r="E1101" s="26">
        <f>VLOOKUP(6185,季財報!$A:$H,8,0)</f>
        <v>3</v>
      </c>
      <c r="F1101" s="160">
        <v>2.3883333333333326E-2</v>
      </c>
      <c r="G1101" s="54">
        <v>2753092105.2631578</v>
      </c>
      <c r="H1101" s="54">
        <v>1495190000</v>
      </c>
      <c r="I1101" s="65">
        <v>1.864380887967634</v>
      </c>
      <c r="J1101" s="162">
        <v>10.741791405118299</v>
      </c>
    </row>
    <row r="1102" spans="1:10" hidden="1">
      <c r="A1102" s="64">
        <v>2233</v>
      </c>
      <c r="B1102" s="150">
        <v>1.23</v>
      </c>
      <c r="C1102" s="159">
        <v>0.85123966942148765</v>
      </c>
      <c r="D1102" s="152">
        <v>48780487.804878049</v>
      </c>
      <c r="E1102" s="26">
        <f>VLOOKUP(2233,季財報!$A:$H,8,0)</f>
        <v>1</v>
      </c>
      <c r="F1102" s="159">
        <v>2.4850000000000001E-2</v>
      </c>
      <c r="G1102" s="152">
        <v>3609756097.5609756</v>
      </c>
      <c r="H1102" s="152">
        <v>1949340000</v>
      </c>
      <c r="I1102" s="150">
        <v>1.8667553896822866</v>
      </c>
      <c r="J1102" s="152">
        <v>17.669113584339726</v>
      </c>
    </row>
    <row r="1103" spans="1:10" hidden="1">
      <c r="A1103" s="64">
        <v>4551</v>
      </c>
      <c r="B1103" s="52">
        <v>1.08</v>
      </c>
      <c r="C1103" s="160">
        <v>1</v>
      </c>
      <c r="D1103" s="157">
        <v>79629629.629629627</v>
      </c>
      <c r="E1103" s="26">
        <f>VLOOKUP(4551,季財報!$A:$H,8,0)</f>
        <v>2</v>
      </c>
      <c r="F1103" s="160">
        <v>2.5791666666666661E-2</v>
      </c>
      <c r="G1103" s="54">
        <v>5582037037.0370359</v>
      </c>
      <c r="H1103" s="54">
        <v>3033017000</v>
      </c>
      <c r="I1103" s="65">
        <v>1.8668889071471524</v>
      </c>
      <c r="J1103" s="162">
        <v>16.226851851851851</v>
      </c>
    </row>
    <row r="1104" spans="1:10" hidden="1">
      <c r="A1104" s="64">
        <v>2325</v>
      </c>
      <c r="B1104" s="150">
        <v>0.86</v>
      </c>
      <c r="C1104" s="159">
        <v>0.86491586727472869</v>
      </c>
      <c r="D1104" s="152">
        <v>3118604651.1627908</v>
      </c>
      <c r="E1104" s="26">
        <f>VLOOKUP(2325,季財報!$A:$H,8,0)</f>
        <v>1</v>
      </c>
      <c r="F1104" s="159">
        <v>-3.0083333333333338E-3</v>
      </c>
      <c r="G1104" s="152">
        <v>155462441860.46512</v>
      </c>
      <c r="H1104" s="152">
        <v>82752742000</v>
      </c>
      <c r="I1104" s="150">
        <v>1.8687634633567471</v>
      </c>
      <c r="J1104" s="152">
        <v>16.754553382663847</v>
      </c>
    </row>
    <row r="1105" spans="1:11" hidden="1">
      <c r="A1105" s="64">
        <v>3022</v>
      </c>
      <c r="B1105" s="150">
        <v>0.88</v>
      </c>
      <c r="C1105" s="159">
        <v>0.75732899022801303</v>
      </c>
      <c r="D1105" s="152">
        <v>328409090.90909094</v>
      </c>
      <c r="E1105" s="26">
        <f>VLOOKUP(3022,季財報!$A:$H,8,0)</f>
        <v>2</v>
      </c>
      <c r="F1105" s="159">
        <v>1.7941666666666668E-2</v>
      </c>
      <c r="G1105" s="152">
        <v>12807954545.454546</v>
      </c>
      <c r="H1105" s="152">
        <v>6805387000</v>
      </c>
      <c r="I1105" s="150">
        <v>1.870074417115176</v>
      </c>
      <c r="J1105" s="152">
        <v>14.629765395894429</v>
      </c>
    </row>
    <row r="1106" spans="1:11" hidden="1">
      <c r="A1106" s="64">
        <v>1737</v>
      </c>
      <c r="B1106" s="150">
        <v>0.6</v>
      </c>
      <c r="C1106" s="159">
        <v>0.80319148936170215</v>
      </c>
      <c r="D1106" s="152">
        <v>200000000</v>
      </c>
      <c r="E1106" s="26">
        <f>VLOOKUP(1737,季財報!$A:$H,8,0)</f>
        <v>3</v>
      </c>
      <c r="F1106" s="159">
        <v>8.2083333333333331E-3</v>
      </c>
      <c r="G1106" s="152">
        <v>5200000000</v>
      </c>
      <c r="H1106" s="152">
        <v>2773045000</v>
      </c>
      <c r="I1106" s="150">
        <v>1.8798942776379708</v>
      </c>
      <c r="J1106" s="152">
        <v>13.487858719646798</v>
      </c>
    </row>
    <row r="1107" spans="1:11" hidden="1">
      <c r="A1107" s="64">
        <v>2702</v>
      </c>
      <c r="B1107" s="150">
        <v>0.2</v>
      </c>
      <c r="C1107" s="159">
        <v>1</v>
      </c>
      <c r="D1107" s="152">
        <v>95000000</v>
      </c>
      <c r="E1107" s="26">
        <f>VLOOKUP(2702,季財報!$A:$H,8,0)</f>
        <v>5</v>
      </c>
      <c r="F1107" s="159">
        <v>9.7783333333333333E-2</v>
      </c>
      <c r="G1107" s="152">
        <v>1448750000</v>
      </c>
      <c r="H1107" s="152">
        <v>832122000</v>
      </c>
      <c r="I1107" s="150">
        <v>1.8856173761837578</v>
      </c>
      <c r="J1107" s="152">
        <v>19.0625</v>
      </c>
    </row>
    <row r="1108" spans="1:11" hidden="1">
      <c r="A1108" s="64">
        <v>4737</v>
      </c>
      <c r="B1108" s="52">
        <v>0.59</v>
      </c>
      <c r="C1108" s="160">
        <v>1</v>
      </c>
      <c r="D1108" s="157">
        <v>50847457.627118647</v>
      </c>
      <c r="E1108" s="26">
        <f>VLOOKUP(4737,季財報!$A:$H,8,0)</f>
        <v>3</v>
      </c>
      <c r="F1108" s="160">
        <v>1.588333333333334E-2</v>
      </c>
      <c r="G1108" s="54">
        <v>3050847457.6271191</v>
      </c>
      <c r="H1108" s="54">
        <v>1591026000</v>
      </c>
      <c r="I1108" s="65">
        <v>1.8902529432524751</v>
      </c>
      <c r="J1108" s="162">
        <v>25.423728813559322</v>
      </c>
    </row>
    <row r="1109" spans="1:11" hidden="1">
      <c r="A1109" s="64">
        <v>3054</v>
      </c>
      <c r="B1109" s="150">
        <v>-0.19</v>
      </c>
      <c r="C1109" s="159">
        <v>1</v>
      </c>
      <c r="D1109" s="152">
        <v>105263157.89473684</v>
      </c>
      <c r="E1109" s="26">
        <f>VLOOKUP(3054,季財報!$A:$H,8,0)</f>
        <v>1</v>
      </c>
      <c r="F1109" s="159">
        <v>-1.6991666666666655E-2</v>
      </c>
      <c r="G1109" s="152">
        <v>1910526315.7894735</v>
      </c>
      <c r="H1109" s="152">
        <v>960474000</v>
      </c>
      <c r="I1109" s="150">
        <v>1.9077467288056038</v>
      </c>
      <c r="J1109" s="152">
        <v>0</v>
      </c>
    </row>
    <row r="1110" spans="1:11" hidden="1">
      <c r="A1110" s="64">
        <v>3645</v>
      </c>
      <c r="B1110" s="150">
        <v>0.51</v>
      </c>
      <c r="C1110" s="159">
        <v>0.989247311827957</v>
      </c>
      <c r="D1110" s="152">
        <v>117647058.82352941</v>
      </c>
      <c r="E1110" s="26">
        <f>VLOOKUP(3645,季財報!$A:$H,8,0)</f>
        <v>2</v>
      </c>
      <c r="F1110" s="159">
        <v>1.2916666666666665E-2</v>
      </c>
      <c r="G1110" s="152">
        <v>2929411764.7058821</v>
      </c>
      <c r="H1110" s="152">
        <v>1515291000</v>
      </c>
      <c r="I1110" s="150">
        <v>1.9170037462410556</v>
      </c>
      <c r="J1110" s="152">
        <v>12.338554987212275</v>
      </c>
    </row>
    <row r="1111" spans="1:11" hidden="1">
      <c r="A1111" s="64">
        <v>5312</v>
      </c>
      <c r="B1111" s="52">
        <v>1.89</v>
      </c>
      <c r="C1111" s="160">
        <v>0.115</v>
      </c>
      <c r="D1111" s="157">
        <v>59788359.788359791</v>
      </c>
      <c r="E1111" s="26">
        <f>VLOOKUP(5312,季財報!$A:$H,8,0)</f>
        <v>4</v>
      </c>
      <c r="F1111" s="160">
        <v>6.0916666666666645E-3</v>
      </c>
      <c r="G1111" s="54">
        <v>4842857142.8571434</v>
      </c>
      <c r="H1111" s="54">
        <v>2531371000</v>
      </c>
      <c r="I1111" s="65">
        <v>1.9211915876290906</v>
      </c>
      <c r="J1111" s="162">
        <v>50</v>
      </c>
    </row>
    <row r="1112" spans="1:11" hidden="1">
      <c r="A1112" s="64">
        <v>6404</v>
      </c>
      <c r="B1112" s="52">
        <v>0.64</v>
      </c>
      <c r="C1112" s="160">
        <v>0.63461538461538458</v>
      </c>
      <c r="D1112" s="157">
        <v>37500000</v>
      </c>
      <c r="E1112" s="26">
        <f>VLOOKUP(6404,季財報!$A:$H,8,0)</f>
        <v>1</v>
      </c>
      <c r="F1112" s="160">
        <v>3.998333333333335E-2</v>
      </c>
      <c r="G1112" s="54">
        <v>1657500000</v>
      </c>
      <c r="H1112" s="54">
        <v>896346000</v>
      </c>
      <c r="I1112" s="65">
        <v>1.9218728259357172</v>
      </c>
      <c r="J1112" s="162">
        <v>27.206439393939398</v>
      </c>
    </row>
    <row r="1113" spans="1:11" hidden="1">
      <c r="A1113" s="64">
        <v>8404</v>
      </c>
      <c r="B1113" s="52">
        <v>0.51</v>
      </c>
      <c r="C1113" s="160">
        <v>0.90196078431372551</v>
      </c>
      <c r="D1113" s="157">
        <v>223529411.76470587</v>
      </c>
      <c r="E1113" s="26">
        <f>VLOOKUP(8404,季財報!$A:$H,8,0)</f>
        <v>2</v>
      </c>
      <c r="F1113" s="160">
        <v>6.8150000000000002E-2</v>
      </c>
      <c r="G1113" s="54">
        <v>6817647058.8235292</v>
      </c>
      <c r="H1113" s="54">
        <v>3509241000</v>
      </c>
      <c r="I1113" s="65">
        <v>1.9223207596361469</v>
      </c>
      <c r="J1113" s="162">
        <v>16.576086956521738</v>
      </c>
    </row>
    <row r="1114" spans="1:11" hidden="1">
      <c r="A1114" s="64">
        <v>2607</v>
      </c>
      <c r="B1114" s="150">
        <v>0.21</v>
      </c>
      <c r="C1114" s="159">
        <v>0.7505518763796909</v>
      </c>
      <c r="D1114" s="152">
        <v>1057142857.1428572</v>
      </c>
      <c r="E1114" s="26">
        <f>VLOOKUP(2607,季財報!$A:$H,8,0)</f>
        <v>2</v>
      </c>
      <c r="F1114" s="159">
        <v>4.6166666666666691E-3</v>
      </c>
      <c r="G1114" s="152">
        <v>14112857142.857143</v>
      </c>
      <c r="H1114" s="152">
        <v>7348028000</v>
      </c>
      <c r="I1114" s="150">
        <v>1.9232474556004631</v>
      </c>
      <c r="J1114" s="152">
        <v>21.174894957983195</v>
      </c>
    </row>
    <row r="1115" spans="1:11">
      <c r="A1115" s="64">
        <v>2308</v>
      </c>
      <c r="B1115" s="150">
        <v>2.42</v>
      </c>
      <c r="C1115" s="159">
        <v>0.76958002270147563</v>
      </c>
      <c r="D1115" s="152">
        <v>2436363636.3636365</v>
      </c>
      <c r="E1115" s="26">
        <f>VLOOKUP(2308,季財報!$A:$H,8,0)</f>
        <v>4</v>
      </c>
      <c r="F1115" s="159">
        <v>1.5158333333333334E-2</v>
      </c>
      <c r="G1115" s="152">
        <v>386163636363.63641</v>
      </c>
      <c r="H1115" s="152">
        <v>201218039000</v>
      </c>
      <c r="I1115" s="150">
        <v>1.9330788014917986</v>
      </c>
      <c r="J1115" s="152">
        <v>21.276496867305394</v>
      </c>
    </row>
    <row r="1116" spans="1:11" hidden="1">
      <c r="A1116" s="64">
        <v>3003</v>
      </c>
      <c r="B1116" s="150">
        <v>0.88</v>
      </c>
      <c r="C1116" s="159">
        <v>0.75342465753424659</v>
      </c>
      <c r="D1116" s="152">
        <v>155681818.18181819</v>
      </c>
      <c r="E1116" s="26">
        <f>VLOOKUP(3003,季財報!$A:$H,8,0)</f>
        <v>2</v>
      </c>
      <c r="F1116" s="159">
        <v>9.8750000000000001E-3</v>
      </c>
      <c r="G1116" s="152">
        <v>5736875000</v>
      </c>
      <c r="H1116" s="152">
        <v>2953853000</v>
      </c>
      <c r="I1116" s="150">
        <v>1.9345427776957229</v>
      </c>
      <c r="J1116" s="152">
        <v>13.894886363636363</v>
      </c>
    </row>
    <row r="1117" spans="1:11" hidden="1">
      <c r="A1117" s="64">
        <v>1442</v>
      </c>
      <c r="B1117" s="150">
        <v>0.43</v>
      </c>
      <c r="C1117" s="159">
        <v>1</v>
      </c>
      <c r="D1117" s="152">
        <v>225581395.34883723</v>
      </c>
      <c r="E1117" s="26">
        <f>VLOOKUP(1442,季財報!$A:$H,8,0)</f>
        <v>0</v>
      </c>
      <c r="F1117" s="159">
        <v>1.1889583333333333</v>
      </c>
      <c r="G1117" s="152">
        <v>3846162790.6976748</v>
      </c>
      <c r="H1117" s="152">
        <v>1792790000</v>
      </c>
      <c r="I1117" s="150">
        <v>1.9379620368487807</v>
      </c>
      <c r="J1117" s="152">
        <v>9.9127906976744189</v>
      </c>
    </row>
    <row r="1118" spans="1:11" hidden="1">
      <c r="A1118" s="64">
        <v>8091</v>
      </c>
      <c r="B1118" s="52">
        <v>1.62</v>
      </c>
      <c r="C1118" s="160">
        <v>0.87179487179487181</v>
      </c>
      <c r="D1118" s="157">
        <v>59876543.209876537</v>
      </c>
      <c r="E1118" s="26">
        <f>VLOOKUP(8091,季財報!$A:$H,8,0)</f>
        <v>1</v>
      </c>
      <c r="F1118" s="160">
        <v>0.16900833333333334</v>
      </c>
      <c r="G1118" s="54">
        <v>3963827160.4938269</v>
      </c>
      <c r="H1118" s="54">
        <v>2309574000</v>
      </c>
      <c r="I1118" s="65">
        <v>1.9381207723356042</v>
      </c>
      <c r="J1118" s="162">
        <v>11.718409586056644</v>
      </c>
    </row>
    <row r="1119" spans="1:11" hidden="1">
      <c r="A1119" s="64">
        <v>2454</v>
      </c>
      <c r="B1119" s="150">
        <v>5.09</v>
      </c>
      <c r="C1119" s="159">
        <v>0.86066834451901564</v>
      </c>
      <c r="D1119" s="152">
        <v>1562671905.6974461</v>
      </c>
      <c r="E1119" s="26">
        <f>VLOOKUP(2454,季財報!$A:$H,8,0)</f>
        <v>1</v>
      </c>
      <c r="F1119" s="159">
        <v>6.5725000000000006E-2</v>
      </c>
      <c r="G1119" s="152">
        <v>404732023575.63855</v>
      </c>
      <c r="H1119" s="152">
        <v>211809667000</v>
      </c>
      <c r="I1119" s="150">
        <v>1.9493168853207268</v>
      </c>
      <c r="J1119" s="152">
        <v>14.780399084052647</v>
      </c>
      <c r="K1119" s="32"/>
    </row>
    <row r="1120" spans="1:11" hidden="1">
      <c r="A1120" s="64">
        <v>5309</v>
      </c>
      <c r="B1120" s="52">
        <v>0.15</v>
      </c>
      <c r="C1120" s="160">
        <v>0</v>
      </c>
      <c r="D1120" s="157">
        <v>186666666.66666669</v>
      </c>
      <c r="E1120" s="26">
        <f>VLOOKUP(5309,季財報!$A:$H,8,0)</f>
        <v>2</v>
      </c>
      <c r="F1120" s="160">
        <v>8.7225000000000011E-2</v>
      </c>
      <c r="G1120" s="54">
        <v>3388000000</v>
      </c>
      <c r="H1120" s="54">
        <v>1838358000</v>
      </c>
      <c r="I1120" s="65">
        <v>1.9657296959211108</v>
      </c>
      <c r="J1120" s="162">
        <v>0</v>
      </c>
    </row>
    <row r="1121" spans="1:10" hidden="1">
      <c r="A1121" s="64">
        <v>1453</v>
      </c>
      <c r="B1121" s="150">
        <v>-0.11</v>
      </c>
      <c r="C1121" s="159">
        <v>0.95</v>
      </c>
      <c r="D1121" s="152">
        <v>81818181.818181813</v>
      </c>
      <c r="E1121" s="26">
        <f>VLOOKUP(1453,季財報!$A:$H,8,0)</f>
        <v>0</v>
      </c>
      <c r="F1121" s="159">
        <v>1.6493249999999999</v>
      </c>
      <c r="G1121" s="152">
        <v>675818181.81818175</v>
      </c>
      <c r="H1121" s="152">
        <v>329486000</v>
      </c>
      <c r="I1121" s="150">
        <v>1.9723049543217992</v>
      </c>
      <c r="J1121" s="152">
        <v>0</v>
      </c>
    </row>
    <row r="1122" spans="1:10" hidden="1">
      <c r="A1122" s="64">
        <v>8107</v>
      </c>
      <c r="B1122" s="52">
        <v>0.31</v>
      </c>
      <c r="C1122" s="160">
        <v>0</v>
      </c>
      <c r="D1122" s="157">
        <v>116129032.25806452</v>
      </c>
      <c r="E1122" s="26">
        <f>VLOOKUP(8107,季財報!$A:$H,8,0)</f>
        <v>5</v>
      </c>
      <c r="F1122" s="160">
        <v>-2.7033333333333336E-2</v>
      </c>
      <c r="G1122" s="54">
        <v>2096129032.2580647</v>
      </c>
      <c r="H1122" s="54">
        <v>1004828000</v>
      </c>
      <c r="I1122" s="65">
        <v>1.9726008234895049</v>
      </c>
      <c r="J1122" s="162">
        <v>0</v>
      </c>
    </row>
    <row r="1123" spans="1:10" hidden="1">
      <c r="A1123" s="64">
        <v>5607</v>
      </c>
      <c r="B1123" s="52">
        <v>0.36</v>
      </c>
      <c r="C1123" s="160">
        <v>1</v>
      </c>
      <c r="D1123" s="157">
        <v>169444444.44444445</v>
      </c>
      <c r="E1123" s="26">
        <f>VLOOKUP(5607,季財報!$A:$H,8,0)</f>
        <v>4</v>
      </c>
      <c r="F1123" s="160">
        <v>5.7416666666666658E-3</v>
      </c>
      <c r="G1123" s="54">
        <v>2507777777.7777781</v>
      </c>
      <c r="H1123" s="54">
        <v>1269820000</v>
      </c>
      <c r="I1123" s="65">
        <v>1.9739396240349061</v>
      </c>
      <c r="J1123" s="162">
        <v>10.277777777777779</v>
      </c>
    </row>
    <row r="1124" spans="1:10" hidden="1">
      <c r="A1124" s="64">
        <v>2438</v>
      </c>
      <c r="B1124" s="150">
        <v>0.09</v>
      </c>
      <c r="C1124" s="159">
        <v>0</v>
      </c>
      <c r="D1124" s="152">
        <v>77777777.777777776</v>
      </c>
      <c r="E1124" s="26">
        <f>VLOOKUP(2438,季財報!$A:$H,8,0)</f>
        <v>2</v>
      </c>
      <c r="F1124" s="159">
        <v>3.509166666666666E-2</v>
      </c>
      <c r="G1124" s="152">
        <v>1158888888.8888888</v>
      </c>
      <c r="H1124" s="152">
        <v>601771000</v>
      </c>
      <c r="I1124" s="150">
        <v>1.9784566368968695</v>
      </c>
      <c r="J1124" s="152">
        <v>0</v>
      </c>
    </row>
    <row r="1125" spans="1:10" hidden="1">
      <c r="A1125" s="64">
        <v>3004</v>
      </c>
      <c r="B1125" s="150">
        <v>1.32</v>
      </c>
      <c r="C1125" s="159">
        <v>0.94017094017094016</v>
      </c>
      <c r="D1125" s="152">
        <v>52272727.272727273</v>
      </c>
      <c r="E1125" s="26">
        <f>VLOOKUP(3004,季財報!$A:$H,8,0)</f>
        <v>4</v>
      </c>
      <c r="F1125" s="159">
        <v>7.2450000000000001E-2</v>
      </c>
      <c r="G1125" s="152">
        <v>2927272727.2727275</v>
      </c>
      <c r="H1125" s="152">
        <v>1537774000</v>
      </c>
      <c r="I1125" s="150">
        <v>1.9792296444836412</v>
      </c>
      <c r="J1125" s="152">
        <v>11.28099173553719</v>
      </c>
    </row>
    <row r="1126" spans="1:10" hidden="1">
      <c r="A1126" s="64">
        <v>4965</v>
      </c>
      <c r="B1126" s="52">
        <v>0.47</v>
      </c>
      <c r="C1126" s="160">
        <v>0.90909090909090906</v>
      </c>
      <c r="D1126" s="157">
        <v>21276595.744680852</v>
      </c>
      <c r="E1126" s="26">
        <f>VLOOKUP(4965,季財報!$A:$H,8,0)</f>
        <v>3</v>
      </c>
      <c r="F1126" s="160">
        <v>4.5333333333333337E-2</v>
      </c>
      <c r="G1126" s="54">
        <v>2574468085.1063828</v>
      </c>
      <c r="H1126" s="54">
        <v>1340378000</v>
      </c>
      <c r="I1126" s="65">
        <v>1.9911028310487375</v>
      </c>
      <c r="J1126" s="162">
        <v>50</v>
      </c>
    </row>
    <row r="1127" spans="1:10" hidden="1">
      <c r="A1127" s="64">
        <v>2605</v>
      </c>
      <c r="B1127" s="150">
        <v>0.52</v>
      </c>
      <c r="C1127" s="159">
        <v>1</v>
      </c>
      <c r="D1127" s="152">
        <v>563461538.46153843</v>
      </c>
      <c r="E1127" s="26">
        <f>VLOOKUP(2605,季財報!$A:$H,8,0)</f>
        <v>5</v>
      </c>
      <c r="F1127" s="159">
        <v>-1.3249999999999991E-3</v>
      </c>
      <c r="G1127" s="152">
        <v>10085961538.461536</v>
      </c>
      <c r="H1127" s="152">
        <v>5042013000</v>
      </c>
      <c r="I1127" s="150">
        <v>1.9919566078191677</v>
      </c>
      <c r="J1127" s="152">
        <v>8.6057692307692299</v>
      </c>
    </row>
    <row r="1128" spans="1:10" hidden="1">
      <c r="A1128" s="64">
        <v>5395</v>
      </c>
      <c r="B1128" s="52">
        <v>0.05</v>
      </c>
      <c r="C1128" s="160">
        <v>1</v>
      </c>
      <c r="D1128" s="157">
        <v>60000000</v>
      </c>
      <c r="E1128" s="26">
        <f>VLOOKUP(5395,季財報!$A:$H,8,0)</f>
        <v>2</v>
      </c>
      <c r="F1128" s="160">
        <v>2.0520083333333332</v>
      </c>
      <c r="G1128" s="54">
        <v>1908000000</v>
      </c>
      <c r="H1128" s="54">
        <v>1031835000</v>
      </c>
      <c r="I1128" s="65">
        <v>2.0073729926270074</v>
      </c>
      <c r="J1128" s="162">
        <v>50</v>
      </c>
    </row>
    <row r="1129" spans="1:10" hidden="1">
      <c r="A1129" s="64">
        <v>4946</v>
      </c>
      <c r="B1129" s="52">
        <v>-4.76</v>
      </c>
      <c r="C1129" s="160">
        <v>0.40104166666666669</v>
      </c>
      <c r="D1129" s="157">
        <v>27310924.369747899</v>
      </c>
      <c r="E1129" s="26">
        <f>VLOOKUP(4946,季財報!$A:$H,8,0)</f>
        <v>2</v>
      </c>
      <c r="F1129" s="160">
        <v>-1.748333333333334E-2</v>
      </c>
      <c r="G1129" s="54">
        <v>1010504201.6806723</v>
      </c>
      <c r="H1129" s="54">
        <v>482126000</v>
      </c>
      <c r="I1129" s="65">
        <v>2.0117102784543288</v>
      </c>
      <c r="J1129" s="162">
        <v>0</v>
      </c>
    </row>
    <row r="1130" spans="1:10" hidden="1">
      <c r="A1130" s="64">
        <v>4528</v>
      </c>
      <c r="B1130" s="52">
        <v>0.82</v>
      </c>
      <c r="C1130" s="160">
        <v>0.96062992125984248</v>
      </c>
      <c r="D1130" s="157">
        <v>76829268.292682931</v>
      </c>
      <c r="E1130" s="26">
        <f>VLOOKUP(4528,季財報!$A:$H,8,0)</f>
        <v>2</v>
      </c>
      <c r="F1130" s="160">
        <v>1.3783333333333337E-2</v>
      </c>
      <c r="G1130" s="54">
        <v>4456097560.9756098</v>
      </c>
      <c r="H1130" s="54">
        <v>2228447000</v>
      </c>
      <c r="I1130" s="65">
        <v>2.013931600577596</v>
      </c>
      <c r="J1130" s="162">
        <v>18.407636945221913</v>
      </c>
    </row>
    <row r="1131" spans="1:10" hidden="1">
      <c r="A1131" s="64">
        <v>6294</v>
      </c>
      <c r="B1131" s="52">
        <v>1.06</v>
      </c>
      <c r="C1131" s="160">
        <v>1</v>
      </c>
      <c r="D1131" s="157">
        <v>16981132.075471696</v>
      </c>
      <c r="E1131" s="26">
        <f>VLOOKUP(6294,季財報!$A:$H,8,0)</f>
        <v>2</v>
      </c>
      <c r="F1131" s="160">
        <v>3.0991666666666667E-2</v>
      </c>
      <c r="G1131" s="54">
        <v>1358490566.0377357</v>
      </c>
      <c r="H1131" s="54">
        <v>684922000</v>
      </c>
      <c r="I1131" s="65">
        <v>2.0159145816673454</v>
      </c>
      <c r="J1131" s="162">
        <v>18.867924528301884</v>
      </c>
    </row>
    <row r="1132" spans="1:10" hidden="1">
      <c r="A1132" s="64">
        <v>1722</v>
      </c>
      <c r="B1132" s="150">
        <v>1.17</v>
      </c>
      <c r="C1132" s="159">
        <v>0.75370226032735776</v>
      </c>
      <c r="D1132" s="152">
        <v>982051282.05128217</v>
      </c>
      <c r="E1132" s="26">
        <f>VLOOKUP(1722,季財報!$A:$H,8,0)</f>
        <v>3</v>
      </c>
      <c r="F1132" s="159">
        <v>0.32622499999999999</v>
      </c>
      <c r="G1132" s="152">
        <v>40116794871.794876</v>
      </c>
      <c r="H1132" s="152">
        <v>20097036000</v>
      </c>
      <c r="I1132" s="150">
        <v>2.0238195589332628</v>
      </c>
      <c r="J1132" s="152">
        <v>11.581008759136992</v>
      </c>
    </row>
    <row r="1133" spans="1:10" hidden="1">
      <c r="A1133" s="64">
        <v>5457</v>
      </c>
      <c r="B1133" s="52">
        <v>0.62</v>
      </c>
      <c r="C1133" s="160">
        <v>0.59183673469387754</v>
      </c>
      <c r="D1133" s="157">
        <v>167741935.48387098</v>
      </c>
      <c r="E1133" s="26">
        <f>VLOOKUP(5457,季財報!$A:$H,8,0)</f>
        <v>0</v>
      </c>
      <c r="F1133" s="160">
        <v>1.4266666666666671E-2</v>
      </c>
      <c r="G1133" s="54">
        <v>4705161290.3225813</v>
      </c>
      <c r="H1133" s="54">
        <v>2317691000</v>
      </c>
      <c r="I1133" s="65">
        <v>2.0366697458741347</v>
      </c>
      <c r="J1133" s="162">
        <v>19.110817575083427</v>
      </c>
    </row>
    <row r="1134" spans="1:10" hidden="1">
      <c r="A1134" s="64">
        <v>8937</v>
      </c>
      <c r="B1134" s="52">
        <v>0.41</v>
      </c>
      <c r="C1134" s="160">
        <v>0</v>
      </c>
      <c r="D1134" s="157">
        <v>70731707.317073181</v>
      </c>
      <c r="E1134" s="26">
        <f>VLOOKUP(8937,季財報!$A:$H,8,0)</f>
        <v>5</v>
      </c>
      <c r="F1134" s="160">
        <v>8.1608333333333352E-2</v>
      </c>
      <c r="G1134" s="54">
        <v>859390243.90243924</v>
      </c>
      <c r="H1134" s="54">
        <v>415287000</v>
      </c>
      <c r="I1134" s="65">
        <v>2.0400906915412409</v>
      </c>
      <c r="J1134" s="162">
        <v>0</v>
      </c>
    </row>
    <row r="1135" spans="1:10" hidden="1">
      <c r="A1135" s="64">
        <v>3085</v>
      </c>
      <c r="B1135" s="150">
        <v>0.01</v>
      </c>
      <c r="C1135" s="159">
        <v>1</v>
      </c>
      <c r="D1135" s="152">
        <v>100000000</v>
      </c>
      <c r="E1135" s="26">
        <f>VLOOKUP(3085,季財報!$A:$H,8,0)</f>
        <v>3</v>
      </c>
      <c r="F1135" s="159">
        <v>-1.0924999999999995E-2</v>
      </c>
      <c r="G1135" s="152">
        <v>701000000</v>
      </c>
      <c r="H1135" s="152">
        <v>332495000</v>
      </c>
      <c r="I1135" s="150">
        <v>2.0490425622093413</v>
      </c>
      <c r="J1135" s="152">
        <v>50</v>
      </c>
    </row>
    <row r="1136" spans="1:10" hidden="1">
      <c r="A1136" s="64">
        <v>1595</v>
      </c>
      <c r="B1136" s="150">
        <v>2.11</v>
      </c>
      <c r="C1136" s="159">
        <v>0.68421052631578949</v>
      </c>
      <c r="D1136" s="152">
        <v>38862559.241706163</v>
      </c>
      <c r="E1136" s="26">
        <f>VLOOKUP(1595,季財報!$A:$H,8,0)</f>
        <v>2</v>
      </c>
      <c r="F1136" s="159">
        <v>-3.4166666666666837E-3</v>
      </c>
      <c r="G1136" s="152">
        <v>2331753554.5023699</v>
      </c>
      <c r="H1136" s="152">
        <v>1103150000</v>
      </c>
      <c r="I1136" s="150">
        <v>2.0490610007209114</v>
      </c>
      <c r="J1136" s="152">
        <v>10.39008384979949</v>
      </c>
    </row>
    <row r="1137" spans="1:10" hidden="1">
      <c r="A1137" s="64">
        <v>5284</v>
      </c>
      <c r="B1137" s="52">
        <v>1.89</v>
      </c>
      <c r="C1137" s="160">
        <v>0.8928571428571429</v>
      </c>
      <c r="D1137" s="157">
        <v>33862433.862433866</v>
      </c>
      <c r="E1137" s="26">
        <f>VLOOKUP(5284,季財報!$A:$H,8,0)</f>
        <v>4</v>
      </c>
      <c r="F1137" s="160">
        <v>1.8833333333333337E-2</v>
      </c>
      <c r="G1137" s="54">
        <v>2417777777.7777781</v>
      </c>
      <c r="H1137" s="54">
        <v>1197855000</v>
      </c>
      <c r="I1137" s="65">
        <v>2.0519255992146106</v>
      </c>
      <c r="J1137" s="162">
        <v>10.577777777777779</v>
      </c>
    </row>
    <row r="1138" spans="1:10" hidden="1">
      <c r="A1138" s="64">
        <v>1103</v>
      </c>
      <c r="B1138" s="150">
        <v>-0.5</v>
      </c>
      <c r="C1138" s="159">
        <v>1</v>
      </c>
      <c r="D1138" s="152">
        <v>644000000</v>
      </c>
      <c r="E1138" s="26">
        <f>VLOOKUP(1103,季財報!$A:$H,8,0)</f>
        <v>1</v>
      </c>
      <c r="F1138" s="159">
        <v>3.8349999999999995E-2</v>
      </c>
      <c r="G1138" s="152">
        <v>6208160000</v>
      </c>
      <c r="H1138" s="152">
        <v>2926975000</v>
      </c>
      <c r="I1138" s="150">
        <v>2.0566477902538343</v>
      </c>
      <c r="J1138" s="152">
        <v>0</v>
      </c>
    </row>
    <row r="1139" spans="1:10" hidden="1">
      <c r="A1139" s="64">
        <v>8383</v>
      </c>
      <c r="B1139" s="52">
        <v>1.1299999999999999</v>
      </c>
      <c r="C1139" s="160">
        <v>0.94146341463414629</v>
      </c>
      <c r="D1139" s="157">
        <v>117699115.04424781</v>
      </c>
      <c r="E1139" s="26">
        <f>VLOOKUP(8383,季財報!$A:$H,8,0)</f>
        <v>3</v>
      </c>
      <c r="F1139" s="160">
        <v>2.9608333333333337E-2</v>
      </c>
      <c r="G1139" s="54">
        <v>6249823008.8495588</v>
      </c>
      <c r="H1139" s="54">
        <v>3100686000</v>
      </c>
      <c r="I1139" s="65">
        <v>2.0618503367177974</v>
      </c>
      <c r="J1139" s="162">
        <v>12.478220000917055</v>
      </c>
    </row>
    <row r="1140" spans="1:10" hidden="1">
      <c r="A1140" s="64">
        <v>1234</v>
      </c>
      <c r="B1140" s="150">
        <v>0.72</v>
      </c>
      <c r="C1140" s="159">
        <v>0.34909909909909909</v>
      </c>
      <c r="D1140" s="152">
        <v>404166666.66666669</v>
      </c>
      <c r="E1140" s="26">
        <f>VLOOKUP(1234,季財報!$A:$H,8,0)</f>
        <v>5</v>
      </c>
      <c r="F1140" s="159">
        <v>3.0566666666666669E-2</v>
      </c>
      <c r="G1140" s="152">
        <v>12650416666.666668</v>
      </c>
      <c r="H1140" s="152">
        <v>6221090000</v>
      </c>
      <c r="I1140" s="150">
        <v>2.0626319436325988</v>
      </c>
      <c r="J1140" s="152">
        <v>31.131720430107528</v>
      </c>
    </row>
    <row r="1141" spans="1:10" hidden="1">
      <c r="A1141" s="64">
        <v>1742</v>
      </c>
      <c r="B1141" s="150">
        <v>-0.47</v>
      </c>
      <c r="C1141" s="159">
        <v>0.65</v>
      </c>
      <c r="D1141" s="152">
        <v>121276595.74468085</v>
      </c>
      <c r="E1141" s="26">
        <f>VLOOKUP(1742,季財報!$A:$H,8,0)</f>
        <v>0</v>
      </c>
      <c r="F1141" s="159">
        <v>0.15586666666666668</v>
      </c>
      <c r="G1141" s="152">
        <v>1376489361.7021277</v>
      </c>
      <c r="H1141" s="152">
        <v>693480000</v>
      </c>
      <c r="I1141" s="150">
        <v>2.070911571771787</v>
      </c>
      <c r="J1141" s="152">
        <v>0</v>
      </c>
    </row>
    <row r="1142" spans="1:10" hidden="1">
      <c r="A1142" s="64">
        <v>2420</v>
      </c>
      <c r="B1142" s="150">
        <v>1.36</v>
      </c>
      <c r="C1142" s="159">
        <v>0.74233128834355833</v>
      </c>
      <c r="D1142" s="152">
        <v>152941176.47058824</v>
      </c>
      <c r="E1142" s="26">
        <f>VLOOKUP(2420,季財報!$A:$H,8,0)</f>
        <v>3</v>
      </c>
      <c r="F1142" s="159">
        <v>1.1716666666666665E-2</v>
      </c>
      <c r="G1142" s="152">
        <v>6867058823.5294113</v>
      </c>
      <c r="H1142" s="152">
        <v>3307522000</v>
      </c>
      <c r="I1142" s="150">
        <v>2.0835920198318552</v>
      </c>
      <c r="J1142" s="152">
        <v>11.118588964511423</v>
      </c>
    </row>
    <row r="1143" spans="1:10" hidden="1">
      <c r="A1143" s="64">
        <v>2101</v>
      </c>
      <c r="B1143" s="150">
        <v>0.28000000000000003</v>
      </c>
      <c r="C1143" s="159">
        <v>0.73616236162361626</v>
      </c>
      <c r="D1143" s="152">
        <v>821428571.42857134</v>
      </c>
      <c r="E1143" s="26">
        <f>VLOOKUP(2101,季財報!$A:$H,8,0)</f>
        <v>2</v>
      </c>
      <c r="F1143" s="159">
        <v>-3.0583333333333309E-3</v>
      </c>
      <c r="G1143" s="152">
        <v>22917857142.85714</v>
      </c>
      <c r="H1143" s="152">
        <v>10891853000</v>
      </c>
      <c r="I1143" s="150">
        <v>2.0855646632687659</v>
      </c>
      <c r="J1143" s="152">
        <v>33.838614393125667</v>
      </c>
    </row>
    <row r="1144" spans="1:10" hidden="1">
      <c r="A1144" s="64">
        <v>5474</v>
      </c>
      <c r="B1144" s="52">
        <v>2.2400000000000002</v>
      </c>
      <c r="C1144" s="160">
        <v>0.91588785046728971</v>
      </c>
      <c r="D1144" s="157">
        <v>33928571.428571425</v>
      </c>
      <c r="E1144" s="26">
        <f>VLOOKUP(5474,季財報!$A:$H,8,0)</f>
        <v>4</v>
      </c>
      <c r="F1144" s="160">
        <v>4.6925000000000015E-2</v>
      </c>
      <c r="G1144" s="54">
        <v>2263035714.2857141</v>
      </c>
      <c r="H1144" s="54">
        <v>1068399000</v>
      </c>
      <c r="I1144" s="65">
        <v>2.0870763908495773</v>
      </c>
      <c r="J1144" s="162">
        <v>8.1278471209912535</v>
      </c>
    </row>
    <row r="1145" spans="1:10" hidden="1">
      <c r="A1145" s="64">
        <v>3002</v>
      </c>
      <c r="B1145" s="150">
        <v>0.05</v>
      </c>
      <c r="C1145" s="159">
        <v>0.3125</v>
      </c>
      <c r="D1145" s="152">
        <v>100000000</v>
      </c>
      <c r="E1145" s="26">
        <f>VLOOKUP(3002,季財報!$A:$H,8,0)</f>
        <v>3</v>
      </c>
      <c r="F1145" s="159">
        <v>4.6333333333333337E-2</v>
      </c>
      <c r="G1145" s="152">
        <v>1019999999.9999999</v>
      </c>
      <c r="H1145" s="152">
        <v>479054000</v>
      </c>
      <c r="I1145" s="150">
        <v>2.0981092333262024</v>
      </c>
      <c r="J1145" s="152">
        <v>50</v>
      </c>
    </row>
    <row r="1146" spans="1:10" hidden="1">
      <c r="A1146" s="64">
        <v>9925</v>
      </c>
      <c r="B1146" s="52">
        <v>0.87</v>
      </c>
      <c r="C1146" s="160">
        <v>0.53893129770992365</v>
      </c>
      <c r="D1146" s="157">
        <v>379310344.82758623</v>
      </c>
      <c r="E1146" s="26">
        <f>VLOOKUP(9925,季財報!$A:$H,8,0)</f>
        <v>2</v>
      </c>
      <c r="F1146" s="160">
        <v>5.058333333333334E-3</v>
      </c>
      <c r="G1146" s="54">
        <v>14660344827.586208</v>
      </c>
      <c r="H1146" s="54">
        <v>6980365000</v>
      </c>
      <c r="I1146" s="65">
        <v>2.1098574983933522</v>
      </c>
      <c r="J1146" s="162">
        <v>20.608047605092636</v>
      </c>
    </row>
    <row r="1147" spans="1:10" hidden="1">
      <c r="A1147" s="64">
        <v>6457</v>
      </c>
      <c r="B1147" s="52">
        <v>0.88</v>
      </c>
      <c r="C1147" s="160">
        <v>0.8571428571428571</v>
      </c>
      <c r="D1147" s="157">
        <v>27272727.272727273</v>
      </c>
      <c r="E1147" s="26">
        <f>VLOOKUP(6457,季財報!$A:$H,8,0)</f>
        <v>3</v>
      </c>
      <c r="F1147" s="160">
        <v>4.8716666666666665E-2</v>
      </c>
      <c r="G1147" s="54">
        <v>1145454545.4545455</v>
      </c>
      <c r="H1147" s="54">
        <v>543524000</v>
      </c>
      <c r="I1147" s="65">
        <v>2.1112345829607952</v>
      </c>
      <c r="J1147" s="162">
        <v>13.920454545454547</v>
      </c>
    </row>
    <row r="1148" spans="1:10" hidden="1">
      <c r="A1148" s="64">
        <v>1477</v>
      </c>
      <c r="B1148" s="150">
        <v>3.07</v>
      </c>
      <c r="C1148" s="159">
        <v>0.95758718190386427</v>
      </c>
      <c r="D1148" s="152">
        <v>204560260.58631924</v>
      </c>
      <c r="E1148" s="26">
        <f>VLOOKUP(1477,季財報!$A:$H,8,0)</f>
        <v>4</v>
      </c>
      <c r="F1148" s="159">
        <v>3.7499999999999999E-2</v>
      </c>
      <c r="G1148" s="152">
        <v>48685342019.543976</v>
      </c>
      <c r="H1148" s="152">
        <v>23182299000</v>
      </c>
      <c r="I1148" s="150">
        <v>2.1117886348677808</v>
      </c>
      <c r="J1148" s="152">
        <v>20.239522685885763</v>
      </c>
    </row>
    <row r="1149" spans="1:10" hidden="1">
      <c r="A1149" s="64">
        <v>3541</v>
      </c>
      <c r="B1149" s="150">
        <v>1.1100000000000001</v>
      </c>
      <c r="C1149" s="159">
        <v>0.72839506172839508</v>
      </c>
      <c r="D1149" s="152">
        <v>44144144.14414414</v>
      </c>
      <c r="E1149" s="26">
        <f>VLOOKUP(3541,季財報!$A:$H,8,0)</f>
        <v>3</v>
      </c>
      <c r="F1149" s="159">
        <v>8.125000000000002E-3</v>
      </c>
      <c r="G1149" s="152">
        <v>2939999999.9999995</v>
      </c>
      <c r="H1149" s="152">
        <v>1382821000</v>
      </c>
      <c r="I1149" s="150">
        <v>2.1167464886487668</v>
      </c>
      <c r="J1149" s="152">
        <v>20.593220338983045</v>
      </c>
    </row>
    <row r="1150" spans="1:10" hidden="1">
      <c r="A1150" s="64">
        <v>1720</v>
      </c>
      <c r="B1150" s="150">
        <v>0.53</v>
      </c>
      <c r="C1150" s="159">
        <v>0.66666666666666663</v>
      </c>
      <c r="D1150" s="152">
        <v>177358490.56603771</v>
      </c>
      <c r="E1150" s="26">
        <f>VLOOKUP(1720,季財報!$A:$H,8,0)</f>
        <v>3</v>
      </c>
      <c r="F1150" s="159">
        <v>2.375833333333334E-2</v>
      </c>
      <c r="G1150" s="152">
        <v>7005660377.35849</v>
      </c>
      <c r="H1150" s="152">
        <v>3346860000</v>
      </c>
      <c r="I1150" s="150">
        <v>2.1197990775305806</v>
      </c>
      <c r="J1150" s="152">
        <v>27.94811320754717</v>
      </c>
    </row>
    <row r="1151" spans="1:10" hidden="1">
      <c r="A1151" s="64">
        <v>3512</v>
      </c>
      <c r="B1151" s="150">
        <v>0.72</v>
      </c>
      <c r="C1151" s="159">
        <v>1</v>
      </c>
      <c r="D1151" s="152">
        <v>59722222.222222224</v>
      </c>
      <c r="E1151" s="26">
        <f>VLOOKUP(3512,季財報!$A:$H,8,0)</f>
        <v>4</v>
      </c>
      <c r="F1151" s="159">
        <v>7.8874999999999987E-2</v>
      </c>
      <c r="G1151" s="152">
        <v>1720000000</v>
      </c>
      <c r="H1151" s="152">
        <v>806599000</v>
      </c>
      <c r="I1151" s="150">
        <v>2.1383008216296586</v>
      </c>
      <c r="J1151" s="152">
        <v>10</v>
      </c>
    </row>
    <row r="1152" spans="1:10" hidden="1">
      <c r="A1152" s="64">
        <v>6263</v>
      </c>
      <c r="B1152" s="52">
        <v>1.07</v>
      </c>
      <c r="C1152" s="160">
        <v>0.90298507462686572</v>
      </c>
      <c r="D1152" s="157">
        <v>62616822.42990654</v>
      </c>
      <c r="E1152" s="26">
        <f>VLOOKUP(6263,季財報!$A:$H,8,0)</f>
        <v>2</v>
      </c>
      <c r="F1152" s="160">
        <v>1.2583333333333334E-2</v>
      </c>
      <c r="G1152" s="54">
        <v>2786448598.1308408</v>
      </c>
      <c r="H1152" s="54">
        <v>1300325000</v>
      </c>
      <c r="I1152" s="65">
        <v>2.1384804637060522</v>
      </c>
      <c r="J1152" s="162">
        <v>11.514250405499341</v>
      </c>
    </row>
    <row r="1153" spans="1:10" hidden="1">
      <c r="A1153" s="64">
        <v>2608</v>
      </c>
      <c r="B1153" s="150">
        <v>0.66</v>
      </c>
      <c r="C1153" s="159">
        <v>0.65205843293492693</v>
      </c>
      <c r="D1153" s="152">
        <v>486363636.36363631</v>
      </c>
      <c r="E1153" s="26">
        <f>VLOOKUP(2608,季財報!$A:$H,8,0)</f>
        <v>3</v>
      </c>
      <c r="F1153" s="159">
        <v>1.8816666666666673E-2</v>
      </c>
      <c r="G1153" s="152">
        <v>18676363636.363632</v>
      </c>
      <c r="H1153" s="152">
        <v>8825809000</v>
      </c>
      <c r="I1153" s="150">
        <v>2.1395493351343147</v>
      </c>
      <c r="J1153" s="152">
        <v>22.306980188853917</v>
      </c>
    </row>
    <row r="1154" spans="1:10" hidden="1">
      <c r="A1154" s="64">
        <v>9942</v>
      </c>
      <c r="B1154" s="52">
        <v>1.56</v>
      </c>
      <c r="C1154" s="160">
        <v>0.82403433476394849</v>
      </c>
      <c r="D1154" s="157">
        <v>83333333.333333328</v>
      </c>
      <c r="E1154" s="26">
        <f>VLOOKUP(9942,季財報!$A:$H,8,0)</f>
        <v>2</v>
      </c>
      <c r="F1154" s="160">
        <v>3.9074999999999999E-2</v>
      </c>
      <c r="G1154" s="54">
        <v>5958333333.333333</v>
      </c>
      <c r="H1154" s="54">
        <v>2793918000</v>
      </c>
      <c r="I1154" s="65">
        <v>2.1407242031056848</v>
      </c>
      <c r="J1154" s="162">
        <v>13.905164930555557</v>
      </c>
    </row>
    <row r="1155" spans="1:10" hidden="1">
      <c r="A1155" s="64">
        <v>4419</v>
      </c>
      <c r="B1155" s="52">
        <v>-0.22</v>
      </c>
      <c r="C1155" s="160">
        <v>0.8571428571428571</v>
      </c>
      <c r="D1155" s="157">
        <v>22727272.727272727</v>
      </c>
      <c r="E1155" s="26">
        <f>VLOOKUP(4419,季財報!$A:$H,8,0)</f>
        <v>1</v>
      </c>
      <c r="F1155" s="160">
        <v>-1.0833333333333274E-3</v>
      </c>
      <c r="G1155" s="54">
        <v>166818181.81818181</v>
      </c>
      <c r="H1155" s="54">
        <v>72874000</v>
      </c>
      <c r="I1155" s="65">
        <v>2.1433936170088503</v>
      </c>
      <c r="J1155" s="162">
        <v>0</v>
      </c>
    </row>
    <row r="1156" spans="1:10" hidden="1">
      <c r="A1156" s="64">
        <v>1470</v>
      </c>
      <c r="B1156" s="150">
        <v>0.2</v>
      </c>
      <c r="C1156" s="159">
        <v>0.7857142857142857</v>
      </c>
      <c r="D1156" s="152">
        <v>85000000</v>
      </c>
      <c r="E1156" s="26">
        <f>VLOOKUP(1470,季財報!$A:$H,8,0)</f>
        <v>2</v>
      </c>
      <c r="F1156" s="159">
        <v>2.0500000000000001E-2</v>
      </c>
      <c r="G1156" s="152">
        <v>1648999999.9999998</v>
      </c>
      <c r="H1156" s="152">
        <v>769161000</v>
      </c>
      <c r="I1156" s="150">
        <v>2.1434123540620846</v>
      </c>
      <c r="J1156" s="152">
        <v>30.863636363636363</v>
      </c>
    </row>
    <row r="1157" spans="1:10" hidden="1">
      <c r="A1157" s="64">
        <v>3583</v>
      </c>
      <c r="B1157" s="150">
        <v>0.05</v>
      </c>
      <c r="C1157" s="159">
        <v>0.33333333333333331</v>
      </c>
      <c r="D1157" s="152">
        <v>80000000</v>
      </c>
      <c r="E1157" s="26">
        <f>VLOOKUP(3583,季財報!$A:$H,8,0)</f>
        <v>3</v>
      </c>
      <c r="F1157" s="159">
        <v>5.3958333333333337E-2</v>
      </c>
      <c r="G1157" s="152">
        <v>6368000000</v>
      </c>
      <c r="H1157" s="152">
        <v>2872681000</v>
      </c>
      <c r="I1157" s="150">
        <v>2.1503916664218434</v>
      </c>
      <c r="J1157" s="152">
        <v>50</v>
      </c>
    </row>
    <row r="1158" spans="1:10" hidden="1">
      <c r="A1158" s="64">
        <v>1339</v>
      </c>
      <c r="B1158" s="150">
        <v>1.55</v>
      </c>
      <c r="C1158" s="159">
        <v>0.6506024096385542</v>
      </c>
      <c r="D1158" s="152">
        <v>74838709.67741935</v>
      </c>
      <c r="E1158" s="26">
        <f>VLOOKUP(1339,季財報!$A:$H,8,0)</f>
        <v>3</v>
      </c>
      <c r="F1158" s="159">
        <v>6.7424999999999999E-2</v>
      </c>
      <c r="G1158" s="152">
        <v>4190967741.9354835</v>
      </c>
      <c r="H1158" s="152">
        <v>2052617000</v>
      </c>
      <c r="I1158" s="150">
        <v>2.1638116328025645</v>
      </c>
      <c r="J1158" s="152">
        <v>13.882915173237755</v>
      </c>
    </row>
    <row r="1159" spans="1:10" hidden="1">
      <c r="A1159" s="64">
        <v>1732</v>
      </c>
      <c r="B1159" s="150">
        <v>0.01</v>
      </c>
      <c r="C1159" s="159">
        <v>1</v>
      </c>
      <c r="D1159" s="152">
        <v>100000000</v>
      </c>
      <c r="E1159" s="26">
        <f>VLOOKUP(1732,季財報!$A:$H,8,0)</f>
        <v>3</v>
      </c>
      <c r="F1159" s="159">
        <v>1.3941666666666665E-2</v>
      </c>
      <c r="G1159" s="152">
        <v>1295000000</v>
      </c>
      <c r="H1159" s="152">
        <v>596263000</v>
      </c>
      <c r="I1159" s="150">
        <v>2.1641295937619591</v>
      </c>
      <c r="J1159" s="152">
        <v>50</v>
      </c>
    </row>
    <row r="1160" spans="1:10" hidden="1">
      <c r="A1160" s="64">
        <v>6104</v>
      </c>
      <c r="B1160" s="52">
        <v>0.72</v>
      </c>
      <c r="C1160" s="160">
        <v>0.87931034482758619</v>
      </c>
      <c r="D1160" s="157">
        <v>88888888.888888896</v>
      </c>
      <c r="E1160" s="26">
        <f>VLOOKUP(6104,季財報!$A:$H,8,0)</f>
        <v>2</v>
      </c>
      <c r="F1160" s="160">
        <v>1.1066666666666669E-2</v>
      </c>
      <c r="G1160" s="54">
        <v>4044444444.4444447</v>
      </c>
      <c r="H1160" s="54">
        <v>1860140000</v>
      </c>
      <c r="I1160" s="65">
        <v>2.1642210968272519</v>
      </c>
      <c r="J1160" s="162">
        <v>17.967047930283226</v>
      </c>
    </row>
    <row r="1161" spans="1:10" hidden="1">
      <c r="A1161" s="64">
        <v>3289</v>
      </c>
      <c r="B1161" s="150">
        <v>2.0099999999999998</v>
      </c>
      <c r="C1161" s="159">
        <v>0</v>
      </c>
      <c r="D1161" s="152">
        <v>46766169.154228859</v>
      </c>
      <c r="E1161" s="26">
        <f>VLOOKUP(3289,季財報!$A:$H,8,0)</f>
        <v>4</v>
      </c>
      <c r="F1161" s="159">
        <v>8.1750000000000017E-3</v>
      </c>
      <c r="G1161" s="152">
        <v>4316517412.9353237</v>
      </c>
      <c r="H1161" s="152">
        <v>2000796000</v>
      </c>
      <c r="I1161" s="150">
        <v>2.1645108961913104</v>
      </c>
      <c r="J1161" s="152">
        <v>0</v>
      </c>
    </row>
    <row r="1162" spans="1:10" hidden="1">
      <c r="A1162" s="64">
        <v>2441</v>
      </c>
      <c r="B1162" s="150">
        <v>0.88</v>
      </c>
      <c r="C1162" s="159">
        <v>0.94399999999999995</v>
      </c>
      <c r="D1162" s="152">
        <v>567045454.5454545</v>
      </c>
      <c r="E1162" s="26">
        <f>VLOOKUP(2441,季財報!$A:$H,8,0)</f>
        <v>2</v>
      </c>
      <c r="F1162" s="159">
        <v>1.8425000000000004E-2</v>
      </c>
      <c r="G1162" s="152">
        <v>20328579545.454544</v>
      </c>
      <c r="H1162" s="152">
        <v>9499605000</v>
      </c>
      <c r="I1162" s="150">
        <v>2.1652739859945602</v>
      </c>
      <c r="J1162" s="152">
        <v>10.788833782742682</v>
      </c>
    </row>
    <row r="1163" spans="1:10" hidden="1">
      <c r="A1163" s="64">
        <v>5489</v>
      </c>
      <c r="B1163" s="52">
        <v>1.7</v>
      </c>
      <c r="C1163" s="160">
        <v>0.7076271186440678</v>
      </c>
      <c r="D1163" s="157">
        <v>100000000</v>
      </c>
      <c r="E1163" s="26">
        <f>VLOOKUP(5489,季財報!$A:$H,8,0)</f>
        <v>2</v>
      </c>
      <c r="F1163" s="160">
        <v>-1.1016666666666666E-2</v>
      </c>
      <c r="G1163" s="54">
        <v>5210000000</v>
      </c>
      <c r="H1163" s="54">
        <v>2342070000</v>
      </c>
      <c r="I1163" s="65">
        <v>2.1791650075455156</v>
      </c>
      <c r="J1163" s="162">
        <v>10.827404015498416</v>
      </c>
    </row>
    <row r="1164" spans="1:10" hidden="1">
      <c r="A1164" s="64">
        <v>2433</v>
      </c>
      <c r="B1164" s="150">
        <v>1.44</v>
      </c>
      <c r="C1164" s="159">
        <v>0.56932153392330387</v>
      </c>
      <c r="D1164" s="152">
        <v>143750000</v>
      </c>
      <c r="E1164" s="26">
        <f>VLOOKUP(2433,季財報!$A:$H,8,0)</f>
        <v>4</v>
      </c>
      <c r="F1164" s="159">
        <v>1.6841666666666668E-2</v>
      </c>
      <c r="G1164" s="152">
        <v>6217187500</v>
      </c>
      <c r="H1164" s="152">
        <v>2898437000</v>
      </c>
      <c r="I1164" s="150">
        <v>2.180255240327579</v>
      </c>
      <c r="J1164" s="152">
        <v>13.188822322970639</v>
      </c>
    </row>
    <row r="1165" spans="1:10" hidden="1">
      <c r="A1165" s="64">
        <v>1416</v>
      </c>
      <c r="B1165" s="150">
        <v>-0.26</v>
      </c>
      <c r="C1165" s="159">
        <v>0.87401574803149606</v>
      </c>
      <c r="D1165" s="152">
        <v>273076923.07692307</v>
      </c>
      <c r="E1165" s="26">
        <f>VLOOKUP(1416,季財報!$A:$H,8,0)</f>
        <v>0</v>
      </c>
      <c r="F1165" s="159">
        <v>3.387891666666667</v>
      </c>
      <c r="G1165" s="152">
        <v>4983653846.1538458</v>
      </c>
      <c r="H1165" s="152">
        <v>2267783000</v>
      </c>
      <c r="I1165" s="150">
        <v>2.1809127325548103</v>
      </c>
      <c r="J1165" s="152">
        <v>0</v>
      </c>
    </row>
    <row r="1166" spans="1:10" hidden="1">
      <c r="A1166" s="64">
        <v>4205</v>
      </c>
      <c r="B1166" s="52">
        <v>0.79</v>
      </c>
      <c r="C1166" s="160">
        <v>0.97029702970297027</v>
      </c>
      <c r="D1166" s="157">
        <v>73417721.518987343</v>
      </c>
      <c r="E1166" s="26">
        <f>VLOOKUP(4205,季財報!$A:$H,8,0)</f>
        <v>4</v>
      </c>
      <c r="F1166" s="160">
        <v>1.2066666666666665E-2</v>
      </c>
      <c r="G1166" s="54">
        <v>2826582278.4810128</v>
      </c>
      <c r="H1166" s="54">
        <v>1302116000</v>
      </c>
      <c r="I1166" s="65">
        <v>2.1863019031302793</v>
      </c>
      <c r="J1166" s="162">
        <v>12.556509945750452</v>
      </c>
    </row>
    <row r="1167" spans="1:10" hidden="1">
      <c r="A1167" s="64">
        <v>1475</v>
      </c>
      <c r="B1167" s="150">
        <v>-0.16</v>
      </c>
      <c r="C1167" s="159">
        <v>0.82608695652173914</v>
      </c>
      <c r="D1167" s="152">
        <v>50000000</v>
      </c>
      <c r="E1167" s="26">
        <f>VLOOKUP(1475,季財報!$A:$H,8,0)</f>
        <v>1</v>
      </c>
      <c r="F1167" s="159">
        <v>3.8625E-2</v>
      </c>
      <c r="G1167" s="152">
        <v>498500000.00000006</v>
      </c>
      <c r="H1167" s="152">
        <v>224876000</v>
      </c>
      <c r="I1167" s="150">
        <v>2.1874588617315376</v>
      </c>
      <c r="J1167" s="152">
        <v>0</v>
      </c>
    </row>
    <row r="1168" spans="1:10" hidden="1">
      <c r="A1168" s="64">
        <v>1734</v>
      </c>
      <c r="B1168" s="150">
        <v>-0.1</v>
      </c>
      <c r="C1168" s="159">
        <v>1</v>
      </c>
      <c r="D1168" s="152">
        <v>170000000</v>
      </c>
      <c r="E1168" s="26">
        <f>VLOOKUP(1734,季財報!$A:$H,8,0)</f>
        <v>2</v>
      </c>
      <c r="F1168" s="159">
        <v>-5.0833333333333355E-3</v>
      </c>
      <c r="G1168" s="152">
        <v>4930000000</v>
      </c>
      <c r="H1168" s="152">
        <v>2163768000</v>
      </c>
      <c r="I1168" s="150">
        <v>2.2023784794117818</v>
      </c>
      <c r="J1168" s="152">
        <v>0</v>
      </c>
    </row>
    <row r="1169" spans="1:10" hidden="1">
      <c r="A1169" s="64">
        <v>6212</v>
      </c>
      <c r="B1169" s="52">
        <v>-0.08</v>
      </c>
      <c r="C1169" s="160">
        <v>1</v>
      </c>
      <c r="D1169" s="157">
        <v>112500000</v>
      </c>
      <c r="E1169" s="26">
        <f>VLOOKUP(6212,季財報!$A:$H,8,0)</f>
        <v>2</v>
      </c>
      <c r="F1169" s="160">
        <v>175.68323333333333</v>
      </c>
      <c r="G1169" s="54">
        <v>2874375000</v>
      </c>
      <c r="H1169" s="54">
        <v>2411481000</v>
      </c>
      <c r="I1169" s="65">
        <v>2.203112928148339</v>
      </c>
      <c r="J1169" s="162">
        <v>0</v>
      </c>
    </row>
    <row r="1170" spans="1:10" hidden="1">
      <c r="A1170" s="64">
        <v>5266</v>
      </c>
      <c r="B1170" s="52">
        <v>2.06</v>
      </c>
      <c r="C1170" s="160">
        <v>1</v>
      </c>
      <c r="D1170" s="157">
        <v>32038834.951456308</v>
      </c>
      <c r="E1170" s="26">
        <f>VLOOKUP(5266,季財報!$A:$H,8,0)</f>
        <v>3</v>
      </c>
      <c r="F1170" s="160">
        <v>1.6691666666666667E-2</v>
      </c>
      <c r="G1170" s="54">
        <v>2386893203.8834949</v>
      </c>
      <c r="H1170" s="54">
        <v>1090642000</v>
      </c>
      <c r="I1170" s="65">
        <v>2.2033517959306739</v>
      </c>
      <c r="J1170" s="162">
        <v>9.0412621359223291</v>
      </c>
    </row>
    <row r="1171" spans="1:10" hidden="1">
      <c r="A1171" s="64">
        <v>6286</v>
      </c>
      <c r="B1171" s="52">
        <v>2.93</v>
      </c>
      <c r="C1171" s="160">
        <v>0.9085213032581454</v>
      </c>
      <c r="D1171" s="157">
        <v>148464163.82252559</v>
      </c>
      <c r="E1171" s="26">
        <f>VLOOKUP(6286,季財報!$A:$H,8,0)</f>
        <v>6</v>
      </c>
      <c r="F1171" s="160">
        <v>3.7750000000000019E-3</v>
      </c>
      <c r="G1171" s="54">
        <v>28059726962.457336</v>
      </c>
      <c r="H1171" s="54">
        <v>12684034000</v>
      </c>
      <c r="I1171" s="65">
        <v>2.2099091496765979</v>
      </c>
      <c r="J1171" s="162">
        <v>17.750029422148991</v>
      </c>
    </row>
    <row r="1172" spans="1:10" hidden="1">
      <c r="A1172" s="64">
        <v>3128</v>
      </c>
      <c r="B1172" s="150">
        <v>-0.01</v>
      </c>
      <c r="C1172" s="159">
        <v>1</v>
      </c>
      <c r="D1172" s="152">
        <v>100000000</v>
      </c>
      <c r="E1172" s="26">
        <f>VLOOKUP(3128,季財報!$A:$H,8,0)</f>
        <v>2</v>
      </c>
      <c r="F1172" s="159">
        <v>3.6941666666666671E-2</v>
      </c>
      <c r="G1172" s="152">
        <v>1610000000.0000002</v>
      </c>
      <c r="H1172" s="152">
        <v>741732000</v>
      </c>
      <c r="I1172" s="150">
        <v>2.2140231551067617</v>
      </c>
      <c r="J1172" s="152">
        <v>0</v>
      </c>
    </row>
    <row r="1173" spans="1:10" hidden="1">
      <c r="A1173" s="64">
        <v>1516</v>
      </c>
      <c r="B1173" s="150">
        <v>-0.08</v>
      </c>
      <c r="C1173" s="159">
        <v>0</v>
      </c>
      <c r="D1173" s="152">
        <v>25000000</v>
      </c>
      <c r="E1173" s="26">
        <f>VLOOKUP(1516,季財報!$A:$H,8,0)</f>
        <v>2</v>
      </c>
      <c r="F1173" s="159">
        <v>12.518816666666664</v>
      </c>
      <c r="G1173" s="152">
        <v>509999999.99999994</v>
      </c>
      <c r="H1173" s="152">
        <v>282117000</v>
      </c>
      <c r="I1173" s="150">
        <v>2.2189928383093882</v>
      </c>
      <c r="J1173" s="152">
        <v>0</v>
      </c>
    </row>
    <row r="1174" spans="1:10" hidden="1">
      <c r="A1174" s="64">
        <v>6504</v>
      </c>
      <c r="B1174" s="52">
        <v>1.82</v>
      </c>
      <c r="C1174" s="160">
        <v>1</v>
      </c>
      <c r="D1174" s="157">
        <v>72527472.527472526</v>
      </c>
      <c r="E1174" s="26">
        <f>VLOOKUP(6504,季財報!$A:$H,8,0)</f>
        <v>2</v>
      </c>
      <c r="F1174" s="160">
        <v>1.7899999999999996E-2</v>
      </c>
      <c r="G1174" s="54">
        <v>13163736263.736263</v>
      </c>
      <c r="H1174" s="54">
        <v>5946677000</v>
      </c>
      <c r="I1174" s="65">
        <v>2.2214434446591076</v>
      </c>
      <c r="J1174" s="162">
        <v>24.931318681318679</v>
      </c>
    </row>
    <row r="1175" spans="1:10" hidden="1">
      <c r="A1175" s="64">
        <v>3416</v>
      </c>
      <c r="B1175" s="150">
        <v>0.91</v>
      </c>
      <c r="C1175" s="159">
        <v>0.99009900990099009</v>
      </c>
      <c r="D1175" s="152">
        <v>60439560.439560436</v>
      </c>
      <c r="E1175" s="26">
        <f>VLOOKUP(3416,季財報!$A:$H,8,0)</f>
        <v>2</v>
      </c>
      <c r="F1175" s="159">
        <v>3.5333333333333335E-2</v>
      </c>
      <c r="G1175" s="152">
        <v>3366483516.4835162</v>
      </c>
      <c r="H1175" s="152">
        <v>1529284000</v>
      </c>
      <c r="I1175" s="150">
        <v>2.2323939194792599</v>
      </c>
      <c r="J1175" s="152">
        <v>15.45521978021978</v>
      </c>
    </row>
    <row r="1176" spans="1:10" hidden="1">
      <c r="A1176" s="64">
        <v>6243</v>
      </c>
      <c r="B1176" s="52">
        <v>-0.03</v>
      </c>
      <c r="C1176" s="160">
        <v>1</v>
      </c>
      <c r="D1176" s="157">
        <v>66666666.666666672</v>
      </c>
      <c r="E1176" s="26">
        <f>VLOOKUP(6243,季財報!$A:$H,8,0)</f>
        <v>3</v>
      </c>
      <c r="F1176" s="160">
        <v>6.291666666666672E-3</v>
      </c>
      <c r="G1176" s="54">
        <v>1116666666.6666667</v>
      </c>
      <c r="H1176" s="54">
        <v>481111000</v>
      </c>
      <c r="I1176" s="65">
        <v>2.2344460874849008</v>
      </c>
      <c r="J1176" s="162">
        <v>0</v>
      </c>
    </row>
    <row r="1177" spans="1:10" hidden="1">
      <c r="A1177" s="64">
        <v>3363</v>
      </c>
      <c r="B1177" s="150">
        <v>0.23</v>
      </c>
      <c r="C1177" s="159">
        <v>0</v>
      </c>
      <c r="D1177" s="152">
        <v>78260869.565217391</v>
      </c>
      <c r="E1177" s="26">
        <f>VLOOKUP(3363,季財報!$A:$H,8,0)</f>
        <v>3</v>
      </c>
      <c r="F1177" s="159">
        <v>6.0625000000000005E-2</v>
      </c>
      <c r="G1177" s="152">
        <v>2073913043.4782608</v>
      </c>
      <c r="H1177" s="152">
        <v>962711000</v>
      </c>
      <c r="I1177" s="150">
        <v>2.2374095056976078</v>
      </c>
      <c r="J1177" s="152">
        <v>0</v>
      </c>
    </row>
    <row r="1178" spans="1:10" hidden="1">
      <c r="A1178" s="64">
        <v>3705</v>
      </c>
      <c r="B1178" s="52">
        <v>0.83</v>
      </c>
      <c r="C1178" s="160">
        <v>0.77892030848329052</v>
      </c>
      <c r="D1178" s="157">
        <v>266265060.24096388</v>
      </c>
      <c r="E1178" s="26">
        <f>VLOOKUP(3705,季財報!$A:$H,8,0)</f>
        <v>2</v>
      </c>
      <c r="F1178" s="160">
        <v>7.7666666666666674E-3</v>
      </c>
      <c r="G1178" s="54">
        <v>13419759036.144579</v>
      </c>
      <c r="H1178" s="54">
        <v>5986308000</v>
      </c>
      <c r="I1178" s="65">
        <v>2.2465066422366533</v>
      </c>
      <c r="J1178" s="162">
        <v>19.489442920195632</v>
      </c>
    </row>
    <row r="1179" spans="1:10" hidden="1">
      <c r="A1179" s="64">
        <v>8435</v>
      </c>
      <c r="B1179" s="52">
        <v>0.96</v>
      </c>
      <c r="C1179" s="160">
        <v>0.90740740740740744</v>
      </c>
      <c r="D1179" s="157">
        <v>31250000</v>
      </c>
      <c r="E1179" s="26">
        <f>VLOOKUP(8435,季財報!$A:$H,8,0)</f>
        <v>2</v>
      </c>
      <c r="F1179" s="160">
        <v>2.5374999999999991E-2</v>
      </c>
      <c r="G1179" s="54">
        <v>1445312500</v>
      </c>
      <c r="H1179" s="54">
        <v>639565000</v>
      </c>
      <c r="I1179" s="65">
        <v>2.253111583633943</v>
      </c>
      <c r="J1179" s="162">
        <v>13.27327806122449</v>
      </c>
    </row>
    <row r="1180" spans="1:10" hidden="1">
      <c r="A1180" s="64">
        <v>4904</v>
      </c>
      <c r="B1180" s="52">
        <v>0.99</v>
      </c>
      <c r="C1180" s="160">
        <v>1</v>
      </c>
      <c r="D1180" s="157">
        <v>3247474747.4747477</v>
      </c>
      <c r="E1180" s="26">
        <f>VLOOKUP(4904,季財報!$A:$H,8,0)</f>
        <v>3</v>
      </c>
      <c r="F1180" s="160">
        <v>2.0999999999999994E-3</v>
      </c>
      <c r="G1180" s="54">
        <v>221153030303.0303</v>
      </c>
      <c r="H1180" s="54">
        <v>97810776000</v>
      </c>
      <c r="I1180" s="65">
        <v>2.2611334431002925</v>
      </c>
      <c r="J1180" s="162">
        <v>17.196969696969695</v>
      </c>
    </row>
    <row r="1181" spans="1:10" hidden="1">
      <c r="A1181" s="64">
        <v>9938</v>
      </c>
      <c r="B1181" s="52">
        <v>1</v>
      </c>
      <c r="C1181" s="160">
        <v>0.93642611683848798</v>
      </c>
      <c r="D1181" s="157">
        <v>297000000</v>
      </c>
      <c r="E1181" s="26">
        <f>VLOOKUP(9938,季財報!$A:$H,8,0)</f>
        <v>3</v>
      </c>
      <c r="F1181" s="160">
        <v>4.3733333333333325E-2</v>
      </c>
      <c r="G1181" s="54">
        <v>21413700000</v>
      </c>
      <c r="H1181" s="54">
        <v>9450856000</v>
      </c>
      <c r="I1181" s="65">
        <v>2.2660311729156062</v>
      </c>
      <c r="J1181" s="162">
        <v>19.248715596330275</v>
      </c>
    </row>
    <row r="1182" spans="1:10" hidden="1">
      <c r="A1182" s="64">
        <v>4153</v>
      </c>
      <c r="B1182" s="52">
        <v>1.67</v>
      </c>
      <c r="C1182" s="160">
        <v>0.97297297297297303</v>
      </c>
      <c r="D1182" s="157">
        <v>37724550.898203596</v>
      </c>
      <c r="E1182" s="26">
        <f>VLOOKUP(4153,季財報!$A:$H,8,0)</f>
        <v>3</v>
      </c>
      <c r="F1182" s="160">
        <v>1.631666666666667E-2</v>
      </c>
      <c r="G1182" s="54">
        <v>2901017964.071857</v>
      </c>
      <c r="H1182" s="54">
        <v>1293507000</v>
      </c>
      <c r="I1182" s="65">
        <v>2.2669197151808889</v>
      </c>
      <c r="J1182" s="162">
        <v>11.831753160345976</v>
      </c>
    </row>
    <row r="1183" spans="1:10" hidden="1">
      <c r="A1183" s="64">
        <v>2049</v>
      </c>
      <c r="B1183" s="150">
        <v>2.21</v>
      </c>
      <c r="C1183" s="159">
        <v>0.8447265625</v>
      </c>
      <c r="D1183" s="152">
        <v>269683257.91855204</v>
      </c>
      <c r="E1183" s="26">
        <f>VLOOKUP(2049,季財報!$A:$H,8,0)</f>
        <v>3</v>
      </c>
      <c r="F1183" s="159">
        <v>-2.5166666666666671E-2</v>
      </c>
      <c r="G1183" s="152">
        <v>35733031674.208145</v>
      </c>
      <c r="H1183" s="152">
        <v>15230917000</v>
      </c>
      <c r="I1183" s="150">
        <v>2.2688337814979156</v>
      </c>
      <c r="J1183" s="152">
        <v>17.74383386080088</v>
      </c>
    </row>
    <row r="1184" spans="1:10" hidden="1">
      <c r="A1184" s="64">
        <v>9940</v>
      </c>
      <c r="B1184" s="52">
        <v>0.17</v>
      </c>
      <c r="C1184" s="160">
        <v>0.51704545454545459</v>
      </c>
      <c r="D1184" s="157">
        <v>647058823.52941167</v>
      </c>
      <c r="E1184" s="26">
        <f>VLOOKUP(9940,季財報!$A:$H,8,0)</f>
        <v>2</v>
      </c>
      <c r="F1184" s="160">
        <v>1.9833333333333324E-2</v>
      </c>
      <c r="G1184" s="54">
        <v>17632352941.176468</v>
      </c>
      <c r="H1184" s="54">
        <v>7619521000</v>
      </c>
      <c r="I1184" s="65">
        <v>2.2719150230564695</v>
      </c>
      <c r="J1184" s="162">
        <v>50</v>
      </c>
    </row>
    <row r="1185" spans="1:10" hidden="1">
      <c r="A1185" s="64">
        <v>3188</v>
      </c>
      <c r="B1185" s="150">
        <v>0.17</v>
      </c>
      <c r="C1185" s="159">
        <v>0</v>
      </c>
      <c r="D1185" s="152">
        <v>47058823.529411763</v>
      </c>
      <c r="E1185" s="26">
        <f>VLOOKUP(3188,季財報!$A:$H,8,0)</f>
        <v>5</v>
      </c>
      <c r="F1185" s="159">
        <v>1.7374999999999998E-2</v>
      </c>
      <c r="G1185" s="152">
        <v>440470588.2352941</v>
      </c>
      <c r="H1185" s="152">
        <v>192132000</v>
      </c>
      <c r="I1185" s="150">
        <v>2.2825148631710372</v>
      </c>
      <c r="J1185" s="152">
        <v>0</v>
      </c>
    </row>
    <row r="1186" spans="1:10" hidden="1">
      <c r="A1186" s="64">
        <v>6187</v>
      </c>
      <c r="B1186" s="52">
        <v>0.74</v>
      </c>
      <c r="C1186" s="160">
        <v>0.84269662921348309</v>
      </c>
      <c r="D1186" s="157">
        <v>85135135.135135129</v>
      </c>
      <c r="E1186" s="26">
        <f>VLOOKUP(6187,季財報!$A:$H,8,0)</f>
        <v>1</v>
      </c>
      <c r="F1186" s="160">
        <v>-8.3583333333333339E-3</v>
      </c>
      <c r="G1186" s="54">
        <v>3609729729.7297292</v>
      </c>
      <c r="H1186" s="54">
        <v>1543012000</v>
      </c>
      <c r="I1186" s="65">
        <v>2.2874332125506025</v>
      </c>
      <c r="J1186" s="162">
        <v>16.9981981981982</v>
      </c>
    </row>
    <row r="1187" spans="1:10" hidden="1">
      <c r="A1187" s="64">
        <v>2926</v>
      </c>
      <c r="B1187" s="150">
        <v>2.1800000000000002</v>
      </c>
      <c r="C1187" s="159">
        <v>0.74251497005988021</v>
      </c>
      <c r="D1187" s="152">
        <v>44954128.440366969</v>
      </c>
      <c r="E1187" s="26">
        <f>VLOOKUP(2926,季財報!$A:$H,8,0)</f>
        <v>2</v>
      </c>
      <c r="F1187" s="159">
        <v>2.9516666666666674E-2</v>
      </c>
      <c r="G1187" s="152">
        <v>8383944954.1284399</v>
      </c>
      <c r="H1187" s="152">
        <v>3725119000</v>
      </c>
      <c r="I1187" s="150">
        <v>2.2921927833533982</v>
      </c>
      <c r="J1187" s="152">
        <v>28.804287511097957</v>
      </c>
    </row>
    <row r="1188" spans="1:10" hidden="1">
      <c r="A1188" s="64">
        <v>3045</v>
      </c>
      <c r="B1188" s="150">
        <v>1.53</v>
      </c>
      <c r="C1188" s="159">
        <v>1</v>
      </c>
      <c r="D1188" s="152">
        <v>2718300653.5947714</v>
      </c>
      <c r="E1188" s="26">
        <f>VLOOKUP(3045,季財報!$A:$H,8,0)</f>
        <v>4</v>
      </c>
      <c r="F1188" s="159">
        <v>1.058333333333335E-3</v>
      </c>
      <c r="G1188" s="152">
        <v>268024444444.44446</v>
      </c>
      <c r="H1188" s="152">
        <v>116204967000</v>
      </c>
      <c r="I1188" s="150">
        <v>2.3039959598855568</v>
      </c>
      <c r="J1188" s="152">
        <v>16.111111111111111</v>
      </c>
    </row>
    <row r="1189" spans="1:10" hidden="1">
      <c r="A1189" s="64">
        <v>3234</v>
      </c>
      <c r="B1189" s="150">
        <v>3</v>
      </c>
      <c r="C1189" s="159">
        <v>0.94836956521739135</v>
      </c>
      <c r="D1189" s="152">
        <v>97666666.666666672</v>
      </c>
      <c r="E1189" s="26">
        <f>VLOOKUP(3234,季財報!$A:$H,8,0)</f>
        <v>6</v>
      </c>
      <c r="F1189" s="159">
        <v>7.6833333333333351E-2</v>
      </c>
      <c r="G1189" s="152">
        <v>9249033333.333334</v>
      </c>
      <c r="H1189" s="152">
        <v>4319580000</v>
      </c>
      <c r="I1189" s="150">
        <v>2.3064075539707982</v>
      </c>
      <c r="J1189" s="152">
        <v>8.3212989493791785</v>
      </c>
    </row>
    <row r="1190" spans="1:10" hidden="1">
      <c r="A1190" s="64">
        <v>5314</v>
      </c>
      <c r="B1190" s="52">
        <v>-0.22</v>
      </c>
      <c r="C1190" s="160">
        <v>0.93103448275862066</v>
      </c>
      <c r="D1190" s="157">
        <v>59090909.090909094</v>
      </c>
      <c r="E1190" s="26">
        <f>VLOOKUP(5314,季財報!$A:$H,8,0)</f>
        <v>1</v>
      </c>
      <c r="F1190" s="160">
        <v>4.7716666666666664E-2</v>
      </c>
      <c r="G1190" s="54">
        <v>359863636.36363637</v>
      </c>
      <c r="H1190" s="54">
        <v>155530000</v>
      </c>
      <c r="I1190" s="65">
        <v>2.3256620073133361</v>
      </c>
      <c r="J1190" s="162">
        <v>0</v>
      </c>
    </row>
    <row r="1191" spans="1:10" hidden="1">
      <c r="A1191" s="64">
        <v>6426</v>
      </c>
      <c r="B1191" s="52">
        <v>1.1000000000000001</v>
      </c>
      <c r="C1191" s="160">
        <v>0.63265306122448983</v>
      </c>
      <c r="D1191" s="157">
        <v>31818181.818181816</v>
      </c>
      <c r="E1191" s="26">
        <f>VLOOKUP(6426,季財報!$A:$H,8,0)</f>
        <v>3</v>
      </c>
      <c r="F1191" s="160">
        <v>3.3666666666666664E-2</v>
      </c>
      <c r="G1191" s="54">
        <v>1186818181.8181818</v>
      </c>
      <c r="H1191" s="54">
        <v>515330000</v>
      </c>
      <c r="I1191" s="65">
        <v>2.3469283193620236</v>
      </c>
      <c r="J1191" s="162">
        <v>13.39956011730205</v>
      </c>
    </row>
    <row r="1192" spans="1:10" hidden="1">
      <c r="A1192" s="64">
        <v>3118</v>
      </c>
      <c r="B1192" s="150">
        <v>0.62</v>
      </c>
      <c r="C1192" s="159">
        <v>0.85365853658536583</v>
      </c>
      <c r="D1192" s="152">
        <v>32258064.516129032</v>
      </c>
      <c r="E1192" s="26">
        <f>VLOOKUP(3118,季財報!$A:$H,8,0)</f>
        <v>3</v>
      </c>
      <c r="F1192" s="159">
        <v>7.0474999999999996E-2</v>
      </c>
      <c r="G1192" s="152">
        <v>1272580645.1612904</v>
      </c>
      <c r="H1192" s="152">
        <v>545679000</v>
      </c>
      <c r="I1192" s="150">
        <v>2.3492177372906431</v>
      </c>
      <c r="J1192" s="152">
        <v>18.634216589861751</v>
      </c>
    </row>
    <row r="1193" spans="1:10" hidden="1">
      <c r="A1193" s="64">
        <v>3227</v>
      </c>
      <c r="B1193" s="150">
        <v>0.74</v>
      </c>
      <c r="C1193" s="159">
        <v>0.55625000000000002</v>
      </c>
      <c r="D1193" s="152">
        <v>128378378.37837838</v>
      </c>
      <c r="E1193" s="26">
        <f>VLOOKUP(3227,季財報!$A:$H,8,0)</f>
        <v>3</v>
      </c>
      <c r="F1193" s="159">
        <v>5.0333333333333341E-3</v>
      </c>
      <c r="G1193" s="152">
        <v>10167567567.567568</v>
      </c>
      <c r="H1193" s="152">
        <v>4329094000</v>
      </c>
      <c r="I1193" s="150">
        <v>2.3559246256421993</v>
      </c>
      <c r="J1193" s="152">
        <v>48.102034618888553</v>
      </c>
    </row>
    <row r="1194" spans="1:10" hidden="1">
      <c r="A1194" s="64">
        <v>3523</v>
      </c>
      <c r="B1194" s="150">
        <v>-0.56999999999999995</v>
      </c>
      <c r="C1194" s="159">
        <v>1</v>
      </c>
      <c r="D1194" s="152">
        <v>96491228.070175454</v>
      </c>
      <c r="E1194" s="26">
        <f>VLOOKUP(3523,季財報!$A:$H,8,0)</f>
        <v>1</v>
      </c>
      <c r="F1194" s="159">
        <v>-3.8183333333333333E-2</v>
      </c>
      <c r="G1194" s="152">
        <v>2368859649.1228075</v>
      </c>
      <c r="H1194" s="152">
        <v>956391000</v>
      </c>
      <c r="I1194" s="150">
        <v>2.3614729616986141</v>
      </c>
      <c r="J1194" s="152">
        <v>0</v>
      </c>
    </row>
    <row r="1195" spans="1:10" hidden="1">
      <c r="A1195" s="64">
        <v>1301</v>
      </c>
      <c r="B1195" s="150">
        <v>1.65</v>
      </c>
      <c r="C1195" s="159">
        <v>0.16750035061474453</v>
      </c>
      <c r="D1195" s="152">
        <v>6381818181.818182</v>
      </c>
      <c r="E1195" s="26">
        <f>VLOOKUP(1301,季財報!$A:$H,8,0)</f>
        <v>2</v>
      </c>
      <c r="F1195" s="159">
        <v>-4.9166666666666749E-4</v>
      </c>
      <c r="G1195" s="152">
        <v>464596363636.36365</v>
      </c>
      <c r="H1195" s="152">
        <v>193297548000</v>
      </c>
      <c r="I1195" s="150">
        <v>2.3766949700190763</v>
      </c>
      <c r="J1195" s="152">
        <v>50</v>
      </c>
    </row>
    <row r="1196" spans="1:10" hidden="1">
      <c r="A1196" s="64">
        <v>6155</v>
      </c>
      <c r="B1196" s="52">
        <v>0.76</v>
      </c>
      <c r="C1196" s="160">
        <v>0.23170731707317074</v>
      </c>
      <c r="D1196" s="157">
        <v>85526315.789473683</v>
      </c>
      <c r="E1196" s="26">
        <f>VLOOKUP(6155,季財報!$A:$H,8,0)</f>
        <v>4</v>
      </c>
      <c r="F1196" s="160">
        <v>1.6850000000000007E-2</v>
      </c>
      <c r="G1196" s="54">
        <v>1539473684.2105262</v>
      </c>
      <c r="H1196" s="54">
        <v>643688000</v>
      </c>
      <c r="I1196" s="65">
        <v>2.3777344555914803</v>
      </c>
      <c r="J1196" s="162">
        <v>25.554016620498611</v>
      </c>
    </row>
    <row r="1197" spans="1:10" hidden="1">
      <c r="A1197" s="64">
        <v>3587</v>
      </c>
      <c r="B1197" s="150">
        <v>1.33</v>
      </c>
      <c r="C1197" s="159">
        <v>0.93877551020408168</v>
      </c>
      <c r="D1197" s="152">
        <v>45864661.654135339</v>
      </c>
      <c r="E1197" s="26">
        <f>VLOOKUP(3587,季財報!$A:$H,8,0)</f>
        <v>4</v>
      </c>
      <c r="F1197" s="159">
        <v>2.6483333333333331E-2</v>
      </c>
      <c r="G1197" s="152">
        <v>2522556390.9774437</v>
      </c>
      <c r="H1197" s="152">
        <v>1071449000</v>
      </c>
      <c r="I1197" s="150">
        <v>2.3815608443116605</v>
      </c>
      <c r="J1197" s="152">
        <v>11.012585812356978</v>
      </c>
    </row>
    <row r="1198" spans="1:10" hidden="1">
      <c r="A1198" s="64">
        <v>1340</v>
      </c>
      <c r="B1198" s="150">
        <v>2.2999999999999998</v>
      </c>
      <c r="C1198" s="159">
        <v>0.85390946502057619</v>
      </c>
      <c r="D1198" s="152">
        <v>114782608.69565219</v>
      </c>
      <c r="E1198" s="26">
        <f>VLOOKUP(1340,季財報!$A:$H,8,0)</f>
        <v>2</v>
      </c>
      <c r="F1198" s="159">
        <v>5.2408333333333314E-2</v>
      </c>
      <c r="G1198" s="152">
        <v>7656000000.000001</v>
      </c>
      <c r="H1198" s="152">
        <v>3209845000</v>
      </c>
      <c r="I1198" s="150">
        <v>2.3847844769718471</v>
      </c>
      <c r="J1198" s="152">
        <v>8.4903614457831331</v>
      </c>
    </row>
    <row r="1199" spans="1:10" hidden="1">
      <c r="A1199" s="64">
        <v>4702</v>
      </c>
      <c r="B1199" s="52">
        <v>0.05</v>
      </c>
      <c r="C1199" s="160">
        <v>0</v>
      </c>
      <c r="D1199" s="157">
        <v>220000000</v>
      </c>
      <c r="E1199" s="26">
        <f>VLOOKUP(4702,季財報!$A:$H,8,0)</f>
        <v>1</v>
      </c>
      <c r="F1199" s="160">
        <v>8.0833333333333313E-3</v>
      </c>
      <c r="G1199" s="54">
        <v>2552000000</v>
      </c>
      <c r="H1199" s="54">
        <v>1056989000</v>
      </c>
      <c r="I1199" s="65">
        <v>2.3849308257916437</v>
      </c>
      <c r="J1199" s="162">
        <v>0</v>
      </c>
    </row>
    <row r="1200" spans="1:10" hidden="1">
      <c r="A1200" s="64">
        <v>6165</v>
      </c>
      <c r="B1200" s="52">
        <v>0.44</v>
      </c>
      <c r="C1200" s="160">
        <v>0.5714285714285714</v>
      </c>
      <c r="D1200" s="157">
        <v>50000000</v>
      </c>
      <c r="E1200" s="26">
        <f>VLOOKUP(6165,季財報!$A:$H,8,0)</f>
        <v>2</v>
      </c>
      <c r="F1200" s="160">
        <v>-2.1325E-2</v>
      </c>
      <c r="G1200" s="54">
        <v>595000000</v>
      </c>
      <c r="H1200" s="54">
        <v>235251000</v>
      </c>
      <c r="I1200" s="65">
        <v>2.3887044389756271</v>
      </c>
      <c r="J1200" s="162">
        <v>11.832386363636365</v>
      </c>
    </row>
    <row r="1201" spans="1:10" hidden="1">
      <c r="A1201" s="64">
        <v>6241</v>
      </c>
      <c r="B1201" s="52">
        <v>0.12</v>
      </c>
      <c r="C1201" s="160">
        <v>1</v>
      </c>
      <c r="D1201" s="157">
        <v>25000000</v>
      </c>
      <c r="E1201" s="26">
        <f>VLOOKUP(6241,季財報!$A:$H,8,0)</f>
        <v>1</v>
      </c>
      <c r="F1201" s="160">
        <v>0.54250000000000009</v>
      </c>
      <c r="G1201" s="54">
        <v>335000000</v>
      </c>
      <c r="H1201" s="54">
        <v>145906000</v>
      </c>
      <c r="I1201" s="65">
        <v>2.3910126473863018</v>
      </c>
      <c r="J1201" s="162">
        <v>27.916666666666668</v>
      </c>
    </row>
    <row r="1202" spans="1:10" hidden="1">
      <c r="A1202" s="64">
        <v>8079</v>
      </c>
      <c r="B1202" s="52">
        <v>0.38</v>
      </c>
      <c r="C1202" s="160">
        <v>0.96610169491525422</v>
      </c>
      <c r="D1202" s="157">
        <v>81578947.368421048</v>
      </c>
      <c r="E1202" s="26">
        <f>VLOOKUP(8079,季財報!$A:$H,8,0)</f>
        <v>3</v>
      </c>
      <c r="F1202" s="160">
        <v>1.3925000000000002E-2</v>
      </c>
      <c r="G1202" s="54">
        <v>1170657894.7368419</v>
      </c>
      <c r="H1202" s="54">
        <v>492655000</v>
      </c>
      <c r="I1202" s="65">
        <v>2.3919094583364156</v>
      </c>
      <c r="J1202" s="162">
        <v>9.7720452446906734</v>
      </c>
    </row>
    <row r="1203" spans="1:10" hidden="1">
      <c r="A1203" s="64">
        <v>6233</v>
      </c>
      <c r="B1203" s="52">
        <v>0.04</v>
      </c>
      <c r="C1203" s="160">
        <v>1</v>
      </c>
      <c r="D1203" s="157">
        <v>75000000</v>
      </c>
      <c r="E1203" s="26">
        <f>VLOOKUP(6233,季財報!$A:$H,8,0)</f>
        <v>2</v>
      </c>
      <c r="F1203" s="160">
        <v>5.2325000000000003E-2</v>
      </c>
      <c r="G1203" s="54">
        <v>1005000000</v>
      </c>
      <c r="H1203" s="54">
        <v>432412000</v>
      </c>
      <c r="I1203" s="65">
        <v>2.4049908945369616</v>
      </c>
      <c r="J1203" s="162">
        <v>50</v>
      </c>
    </row>
    <row r="1204" spans="1:10" hidden="1">
      <c r="A1204" s="64">
        <v>1227</v>
      </c>
      <c r="B1204" s="150">
        <v>1.08</v>
      </c>
      <c r="C1204" s="159">
        <v>0.91809991809991809</v>
      </c>
      <c r="D1204" s="152">
        <v>783333333.33333325</v>
      </c>
      <c r="E1204" s="26">
        <f>VLOOKUP(1227,季財報!$A:$H,8,0)</f>
        <v>4</v>
      </c>
      <c r="F1204" s="159">
        <v>3.8716666666666656E-2</v>
      </c>
      <c r="G1204" s="152">
        <v>61805000000</v>
      </c>
      <c r="H1204" s="152">
        <v>25305737000</v>
      </c>
      <c r="I1204" s="150">
        <v>2.4390985063506148</v>
      </c>
      <c r="J1204" s="152">
        <v>19.893138566755873</v>
      </c>
    </row>
    <row r="1205" spans="1:10" hidden="1">
      <c r="A1205" s="64">
        <v>3623</v>
      </c>
      <c r="B1205" s="150">
        <v>0.87</v>
      </c>
      <c r="C1205" s="159">
        <v>1</v>
      </c>
      <c r="D1205" s="152">
        <v>58620689.655172415</v>
      </c>
      <c r="E1205" s="26">
        <f>VLOOKUP(3623,季財報!$A:$H,8,0)</f>
        <v>3</v>
      </c>
      <c r="F1205" s="159">
        <v>3.7250000000000061E-3</v>
      </c>
      <c r="G1205" s="152">
        <v>2441551724.1379309</v>
      </c>
      <c r="H1205" s="152">
        <v>987663000</v>
      </c>
      <c r="I1205" s="150">
        <v>2.441661598909882</v>
      </c>
      <c r="J1205" s="152">
        <v>11.968390804597702</v>
      </c>
    </row>
    <row r="1206" spans="1:10" hidden="1">
      <c r="A1206" s="64">
        <v>1589</v>
      </c>
      <c r="B1206" s="150">
        <v>3.29</v>
      </c>
      <c r="C1206" s="159">
        <v>0.74631268436578169</v>
      </c>
      <c r="D1206" s="152">
        <v>112158054.71124619</v>
      </c>
      <c r="E1206" s="26">
        <f>VLOOKUP(1589,季財報!$A:$H,8,0)</f>
        <v>4</v>
      </c>
      <c r="F1206" s="159">
        <v>2.3783333333333333E-2</v>
      </c>
      <c r="G1206" s="152">
        <v>19739817629.179329</v>
      </c>
      <c r="H1206" s="152">
        <v>8115103000</v>
      </c>
      <c r="I1206" s="150">
        <v>2.4483795372097381</v>
      </c>
      <c r="J1206" s="152">
        <v>17.919915422228094</v>
      </c>
    </row>
    <row r="1207" spans="1:10" hidden="1">
      <c r="A1207" s="64">
        <v>3030</v>
      </c>
      <c r="B1207" s="150">
        <v>1.81</v>
      </c>
      <c r="C1207" s="159">
        <v>0.84626647144948752</v>
      </c>
      <c r="D1207" s="152">
        <v>236464088.39779004</v>
      </c>
      <c r="E1207" s="26">
        <f>VLOOKUP(3030,季財報!$A:$H,8,0)</f>
        <v>1</v>
      </c>
      <c r="F1207" s="159">
        <v>0.17130000000000004</v>
      </c>
      <c r="G1207" s="152">
        <v>11823204419.889502</v>
      </c>
      <c r="H1207" s="152">
        <v>4786887000</v>
      </c>
      <c r="I1207" s="150">
        <v>2.4507875363532383</v>
      </c>
      <c r="J1207" s="152">
        <v>8.1606415721959902</v>
      </c>
    </row>
    <row r="1208" spans="1:10" hidden="1">
      <c r="A1208" s="64">
        <v>1733</v>
      </c>
      <c r="B1208" s="150">
        <v>1.1100000000000001</v>
      </c>
      <c r="C1208" s="159">
        <v>0.73333333333333328</v>
      </c>
      <c r="D1208" s="152">
        <v>98198198.198198184</v>
      </c>
      <c r="E1208" s="26">
        <f>VLOOKUP(1733,季財報!$A:$H,8,0)</f>
        <v>4</v>
      </c>
      <c r="F1208" s="159">
        <v>1.3508333333333331E-2</v>
      </c>
      <c r="G1208" s="152">
        <v>4615315315.3153143</v>
      </c>
      <c r="H1208" s="152">
        <v>1880307000</v>
      </c>
      <c r="I1208" s="150">
        <v>2.4610539178289783</v>
      </c>
      <c r="J1208" s="152">
        <v>14.434889434889435</v>
      </c>
    </row>
    <row r="1209" spans="1:10" hidden="1">
      <c r="A1209" s="64">
        <v>6414</v>
      </c>
      <c r="B1209" s="52">
        <v>3.59</v>
      </c>
      <c r="C1209" s="160">
        <v>0.76222222222222225</v>
      </c>
      <c r="D1209" s="157">
        <v>68802228.412256271</v>
      </c>
      <c r="E1209" s="26">
        <f>VLOOKUP(6414,季財報!$A:$H,8,0)</f>
        <v>3</v>
      </c>
      <c r="F1209" s="160">
        <v>7.715000000000001E-2</v>
      </c>
      <c r="G1209" s="54">
        <v>25525626740.947075</v>
      </c>
      <c r="H1209" s="54">
        <v>10820447000</v>
      </c>
      <c r="I1209" s="65">
        <v>2.462656265422297</v>
      </c>
      <c r="J1209" s="162">
        <v>33.895173668353138</v>
      </c>
    </row>
    <row r="1210" spans="1:10" hidden="1">
      <c r="A1210" s="64">
        <v>4401</v>
      </c>
      <c r="B1210" s="52">
        <v>1.1200000000000001</v>
      </c>
      <c r="C1210" s="160">
        <v>1</v>
      </c>
      <c r="D1210" s="157">
        <v>119642857.14285713</v>
      </c>
      <c r="E1210" s="26">
        <f>VLOOKUP(4401,季財報!$A:$H,8,0)</f>
        <v>2</v>
      </c>
      <c r="F1210" s="160">
        <v>4.2783333333333333E-2</v>
      </c>
      <c r="G1210" s="54">
        <v>11222499999.999998</v>
      </c>
      <c r="H1210" s="54">
        <v>4661281000</v>
      </c>
      <c r="I1210" s="65">
        <v>2.4629731031705355</v>
      </c>
      <c r="J1210" s="162">
        <v>20.937499999999996</v>
      </c>
    </row>
    <row r="1211" spans="1:10" hidden="1">
      <c r="A1211" s="64">
        <v>8444</v>
      </c>
      <c r="B1211" s="52">
        <v>0.81</v>
      </c>
      <c r="C1211" s="160">
        <v>1</v>
      </c>
      <c r="D1211" s="157">
        <v>66666666.666666664</v>
      </c>
      <c r="E1211" s="26">
        <f>VLOOKUP(8444,季財報!$A:$H,8,0)</f>
        <v>2</v>
      </c>
      <c r="F1211" s="160">
        <v>-1.7475000000000001E-2</v>
      </c>
      <c r="G1211" s="54">
        <v>5000000000</v>
      </c>
      <c r="H1211" s="54">
        <v>1981620000</v>
      </c>
      <c r="I1211" s="65">
        <v>2.463118495211944</v>
      </c>
      <c r="J1211" s="162">
        <v>23.148148148148145</v>
      </c>
    </row>
    <row r="1212" spans="1:10" hidden="1">
      <c r="A1212" s="64">
        <v>3452</v>
      </c>
      <c r="B1212" s="150">
        <v>-0.23</v>
      </c>
      <c r="C1212" s="159">
        <v>1</v>
      </c>
      <c r="D1212" s="152">
        <v>782608695.65217388</v>
      </c>
      <c r="E1212" s="26">
        <f>VLOOKUP(3452,季財報!$A:$H,8,0)</f>
        <v>4</v>
      </c>
      <c r="F1212" s="159">
        <v>0.10309166666666665</v>
      </c>
      <c r="G1212" s="152">
        <v>10213043478.26087</v>
      </c>
      <c r="H1212" s="152">
        <v>4305170000</v>
      </c>
      <c r="I1212" s="150">
        <v>2.4633611212842297</v>
      </c>
      <c r="J1212" s="152">
        <v>0</v>
      </c>
    </row>
    <row r="1213" spans="1:10" hidden="1">
      <c r="A1213" s="64">
        <v>2436</v>
      </c>
      <c r="B1213" s="150">
        <v>0.26</v>
      </c>
      <c r="C1213" s="159">
        <v>0</v>
      </c>
      <c r="D1213" s="152">
        <v>219230769.23076922</v>
      </c>
      <c r="E1213" s="26">
        <f>VLOOKUP(2436,季財報!$A:$H,8,0)</f>
        <v>1</v>
      </c>
      <c r="F1213" s="159">
        <v>1.8175E-2</v>
      </c>
      <c r="G1213" s="152">
        <v>4362692307.6923075</v>
      </c>
      <c r="H1213" s="152">
        <v>1779261000</v>
      </c>
      <c r="I1213" s="150">
        <v>2.4729404546111757</v>
      </c>
      <c r="J1213" s="152">
        <v>0</v>
      </c>
    </row>
    <row r="1214" spans="1:10" hidden="1">
      <c r="A1214" s="64">
        <v>9908</v>
      </c>
      <c r="B1214" s="52">
        <v>0.49</v>
      </c>
      <c r="C1214" s="160">
        <v>0.45121951219512196</v>
      </c>
      <c r="D1214" s="157">
        <v>502040816.32653064</v>
      </c>
      <c r="E1214" s="26">
        <f>VLOOKUP(9908,季財報!$A:$H,8,0)</f>
        <v>4</v>
      </c>
      <c r="F1214" s="160">
        <v>-2.888333333333333E-2</v>
      </c>
      <c r="G1214" s="54">
        <v>11095102040.816328</v>
      </c>
      <c r="H1214" s="54">
        <v>4326067000</v>
      </c>
      <c r="I1214" s="65">
        <v>2.4742435821491107</v>
      </c>
      <c r="J1214" s="162">
        <v>24.988968560397133</v>
      </c>
    </row>
    <row r="1215" spans="1:10" hidden="1">
      <c r="A1215" s="64">
        <v>6124</v>
      </c>
      <c r="B1215" s="52">
        <v>-0.09</v>
      </c>
      <c r="C1215" s="160">
        <v>1</v>
      </c>
      <c r="D1215" s="157">
        <v>177777777.77777779</v>
      </c>
      <c r="E1215" s="26">
        <f>VLOOKUP(6124,季財報!$A:$H,8,0)</f>
        <v>3</v>
      </c>
      <c r="F1215" s="160">
        <v>2.6533333333333343E-2</v>
      </c>
      <c r="G1215" s="54">
        <v>4551111111.1111116</v>
      </c>
      <c r="H1215" s="54">
        <v>1804563000</v>
      </c>
      <c r="I1215" s="65">
        <v>2.4766172504130921</v>
      </c>
      <c r="J1215" s="162">
        <v>0</v>
      </c>
    </row>
    <row r="1216" spans="1:10" hidden="1">
      <c r="A1216" s="64">
        <v>9943</v>
      </c>
      <c r="B1216" s="52">
        <v>1.49</v>
      </c>
      <c r="C1216" s="160">
        <v>0.43204868154158216</v>
      </c>
      <c r="D1216" s="157">
        <v>146979865.77181208</v>
      </c>
      <c r="E1216" s="26">
        <f>VLOOKUP(9943,季財報!$A:$H,8,0)</f>
        <v>2</v>
      </c>
      <c r="F1216" s="160">
        <v>-9.4166666666666669E-3</v>
      </c>
      <c r="G1216" s="54">
        <v>7804630872.483222</v>
      </c>
      <c r="H1216" s="54">
        <v>3094158000</v>
      </c>
      <c r="I1216" s="65">
        <v>2.4790622483643046</v>
      </c>
      <c r="J1216" s="162">
        <v>20.621278003592021</v>
      </c>
    </row>
    <row r="1217" spans="1:10" hidden="1">
      <c r="A1217" s="64">
        <v>3686</v>
      </c>
      <c r="B1217" s="150">
        <v>-0.32</v>
      </c>
      <c r="C1217" s="159">
        <v>1</v>
      </c>
      <c r="D1217" s="152">
        <v>353125000</v>
      </c>
      <c r="E1217" s="26">
        <f>VLOOKUP(3686,季財報!$A:$H,8,0)</f>
        <v>2</v>
      </c>
      <c r="F1217" s="159">
        <v>-3.6916666666666673E-3</v>
      </c>
      <c r="G1217" s="152">
        <v>4007968750</v>
      </c>
      <c r="H1217" s="152">
        <v>1594159000</v>
      </c>
      <c r="I1217" s="150">
        <v>2.4923938796577283</v>
      </c>
      <c r="J1217" s="152">
        <v>0</v>
      </c>
    </row>
    <row r="1218" spans="1:10" hidden="1">
      <c r="A1218" s="64">
        <v>4966</v>
      </c>
      <c r="B1218" s="52">
        <v>4.28</v>
      </c>
      <c r="C1218" s="160">
        <v>0.95439189189189189</v>
      </c>
      <c r="D1218" s="157">
        <v>75000000</v>
      </c>
      <c r="E1218" s="26">
        <f>VLOOKUP(4966,季財報!$A:$H,8,0)</f>
        <v>2</v>
      </c>
      <c r="F1218" s="160">
        <v>2.8783333333333338E-2</v>
      </c>
      <c r="G1218" s="54">
        <v>17062500000</v>
      </c>
      <c r="H1218" s="54">
        <v>6981306000</v>
      </c>
      <c r="I1218" s="65">
        <v>2.4926899356685119</v>
      </c>
      <c r="J1218" s="162">
        <v>13.92357952195848</v>
      </c>
    </row>
    <row r="1219" spans="1:10" hidden="1">
      <c r="A1219" s="64">
        <v>9918</v>
      </c>
      <c r="B1219" s="52">
        <v>0.06</v>
      </c>
      <c r="C1219" s="160">
        <v>0.59183673469387754</v>
      </c>
      <c r="D1219" s="157">
        <v>183333333.33333334</v>
      </c>
      <c r="E1219" s="26">
        <f>VLOOKUP(9918,季財報!$A:$H,8,0)</f>
        <v>2</v>
      </c>
      <c r="F1219" s="160">
        <v>-1.4291666666666666E-2</v>
      </c>
      <c r="G1219" s="54">
        <v>5683333333.333334</v>
      </c>
      <c r="H1219" s="54">
        <v>2219030000</v>
      </c>
      <c r="I1219" s="65">
        <v>2.4994308480781431</v>
      </c>
      <c r="J1219" s="162">
        <v>50</v>
      </c>
    </row>
    <row r="1220" spans="1:10" hidden="1">
      <c r="A1220" s="64">
        <v>3266</v>
      </c>
      <c r="B1220" s="150">
        <v>-1.03</v>
      </c>
      <c r="C1220" s="159">
        <v>0.94339622641509435</v>
      </c>
      <c r="D1220" s="152">
        <v>351456310.67961162</v>
      </c>
      <c r="E1220" s="26">
        <f>VLOOKUP(3266,季財報!$A:$H,8,0)</f>
        <v>3</v>
      </c>
      <c r="F1220" s="159">
        <v>1.0777416666666666</v>
      </c>
      <c r="G1220" s="152">
        <v>4147184466.0194173</v>
      </c>
      <c r="H1220" s="152">
        <v>1658625000</v>
      </c>
      <c r="I1220" s="150">
        <v>2.5109782849814923</v>
      </c>
      <c r="J1220" s="152">
        <v>0</v>
      </c>
    </row>
    <row r="1221" spans="1:10" hidden="1">
      <c r="A1221" s="64">
        <v>2227</v>
      </c>
      <c r="B1221" s="150">
        <v>2.85</v>
      </c>
      <c r="C1221" s="159">
        <v>9.5493083444890672E-2</v>
      </c>
      <c r="D1221" s="152">
        <v>300000000</v>
      </c>
      <c r="E1221" s="26">
        <f>VLOOKUP(2227,季財報!$A:$H,8,0)</f>
        <v>0</v>
      </c>
      <c r="F1221" s="159">
        <v>7.3491666666666677E-2</v>
      </c>
      <c r="G1221" s="152">
        <v>83700000000</v>
      </c>
      <c r="H1221" s="152">
        <v>33344470000</v>
      </c>
      <c r="I1221" s="150">
        <v>2.5132736581475799</v>
      </c>
      <c r="J1221" s="152">
        <v>50</v>
      </c>
    </row>
    <row r="1222" spans="1:10" hidden="1">
      <c r="A1222" s="64">
        <v>3376</v>
      </c>
      <c r="B1222" s="150">
        <v>2.73</v>
      </c>
      <c r="C1222" s="159">
        <v>0.8584070796460177</v>
      </c>
      <c r="D1222" s="152">
        <v>178754578.75457877</v>
      </c>
      <c r="E1222" s="26">
        <f>VLOOKUP(3376,季財報!$A:$H,8,0)</f>
        <v>3</v>
      </c>
      <c r="F1222" s="159">
        <v>1.6541666666666666E-2</v>
      </c>
      <c r="G1222" s="152">
        <v>20824908424.908428</v>
      </c>
      <c r="H1222" s="152">
        <v>8382826000</v>
      </c>
      <c r="I1222" s="150">
        <v>2.5229643374131547</v>
      </c>
      <c r="J1222" s="152">
        <v>12.428250443714361</v>
      </c>
    </row>
    <row r="1223" spans="1:10" hidden="1">
      <c r="A1223" s="64">
        <v>6289</v>
      </c>
      <c r="B1223" s="52">
        <v>-0.25</v>
      </c>
      <c r="C1223" s="160">
        <v>1</v>
      </c>
      <c r="D1223" s="157">
        <v>264000000</v>
      </c>
      <c r="E1223" s="26">
        <f>VLOOKUP(6289,季財報!$A:$H,8,0)</f>
        <v>2</v>
      </c>
      <c r="F1223" s="160">
        <v>4.1233333333333337E-2</v>
      </c>
      <c r="G1223" s="54">
        <v>303600000</v>
      </c>
      <c r="H1223" s="54">
        <v>122489000</v>
      </c>
      <c r="I1223" s="65">
        <v>2.5265680783602273</v>
      </c>
      <c r="J1223" s="162">
        <v>0</v>
      </c>
    </row>
    <row r="1224" spans="1:10" hidden="1">
      <c r="A1224" s="64">
        <v>3518</v>
      </c>
      <c r="B1224" s="150">
        <v>-0.51</v>
      </c>
      <c r="C1224" s="159">
        <v>1</v>
      </c>
      <c r="D1224" s="152">
        <v>86274509.803921565</v>
      </c>
      <c r="E1224" s="26">
        <f>VLOOKUP(3518,季財報!$A:$H,8,0)</f>
        <v>1</v>
      </c>
      <c r="F1224" s="159">
        <v>9.6750000000000013E-3</v>
      </c>
      <c r="G1224" s="152">
        <v>3131764705.8823524</v>
      </c>
      <c r="H1224" s="152">
        <v>1219836000</v>
      </c>
      <c r="I1224" s="150">
        <v>2.5376891404207211</v>
      </c>
      <c r="J1224" s="152">
        <v>0</v>
      </c>
    </row>
    <row r="1225" spans="1:10" hidden="1">
      <c r="A1225" s="64">
        <v>4109</v>
      </c>
      <c r="B1225" s="52">
        <v>0.1</v>
      </c>
      <c r="C1225" s="160">
        <v>1</v>
      </c>
      <c r="D1225" s="157">
        <v>70000000</v>
      </c>
      <c r="E1225" s="26">
        <f>VLOOKUP(4109,季財報!$A:$H,8,0)</f>
        <v>2</v>
      </c>
      <c r="F1225" s="160">
        <v>9.280833333333334E-2</v>
      </c>
      <c r="G1225" s="54">
        <v>1788500000</v>
      </c>
      <c r="H1225" s="54">
        <v>745083000</v>
      </c>
      <c r="I1225" s="65">
        <v>2.5428090469122324</v>
      </c>
      <c r="J1225" s="162">
        <v>50</v>
      </c>
    </row>
    <row r="1226" spans="1:10" hidden="1">
      <c r="A1226" s="64">
        <v>2360</v>
      </c>
      <c r="B1226" s="150">
        <v>1.28</v>
      </c>
      <c r="C1226" s="159">
        <v>0.72305909617612973</v>
      </c>
      <c r="D1226" s="152">
        <v>376562500</v>
      </c>
      <c r="E1226" s="26">
        <f>VLOOKUP(2360,季財報!$A:$H,8,0)</f>
        <v>1</v>
      </c>
      <c r="F1226" s="159">
        <v>3.2950000000000007E-2</v>
      </c>
      <c r="G1226" s="152">
        <v>25267343749.999996</v>
      </c>
      <c r="H1226" s="152">
        <v>9903946000</v>
      </c>
      <c r="I1226" s="150">
        <v>2.5584717048037491</v>
      </c>
      <c r="J1226" s="152">
        <v>18.125031300080128</v>
      </c>
    </row>
    <row r="1227" spans="1:10" hidden="1">
      <c r="A1227" s="64">
        <v>3682</v>
      </c>
      <c r="B1227" s="150">
        <v>-0.24</v>
      </c>
      <c r="C1227" s="159">
        <v>1</v>
      </c>
      <c r="D1227" s="152">
        <v>3808333333.3333335</v>
      </c>
      <c r="E1227" s="26">
        <f>VLOOKUP(3682,季財報!$A:$H,8,0)</f>
        <v>0</v>
      </c>
      <c r="F1227" s="159">
        <v>4.5833333333333376E-4</v>
      </c>
      <c r="G1227" s="152">
        <v>39035416666.666672</v>
      </c>
      <c r="H1227" s="152">
        <v>15142020000</v>
      </c>
      <c r="I1227" s="150">
        <v>2.5674359377254405</v>
      </c>
      <c r="J1227" s="152">
        <v>0</v>
      </c>
    </row>
    <row r="1228" spans="1:10" hidden="1">
      <c r="A1228" s="64">
        <v>2114</v>
      </c>
      <c r="B1228" s="150">
        <v>2.17</v>
      </c>
      <c r="C1228" s="159">
        <v>0.76724137931034486</v>
      </c>
      <c r="D1228" s="152">
        <v>67281105.990783408</v>
      </c>
      <c r="E1228" s="26">
        <f>VLOOKUP(2114,季財報!$A:$H,8,0)</f>
        <v>4</v>
      </c>
      <c r="F1228" s="159">
        <v>-2.5933333333333336E-2</v>
      </c>
      <c r="G1228" s="152">
        <v>5005714285.7142859</v>
      </c>
      <c r="H1228" s="152">
        <v>1883347000</v>
      </c>
      <c r="I1228" s="150">
        <v>2.5688087384070042</v>
      </c>
      <c r="J1228" s="152">
        <v>11.171749598715891</v>
      </c>
    </row>
    <row r="1229" spans="1:10" hidden="1">
      <c r="A1229" s="64">
        <v>5432</v>
      </c>
      <c r="B1229" s="52">
        <v>0.43</v>
      </c>
      <c r="C1229" s="160">
        <v>1</v>
      </c>
      <c r="D1229" s="157">
        <v>20930232.558139537</v>
      </c>
      <c r="E1229" s="26">
        <f>VLOOKUP(5432,季財報!$A:$H,8,0)</f>
        <v>3</v>
      </c>
      <c r="F1229" s="160">
        <v>1.4983333333333329E-2</v>
      </c>
      <c r="G1229" s="54">
        <v>328604651.16279072</v>
      </c>
      <c r="H1229" s="54">
        <v>127663000</v>
      </c>
      <c r="I1229" s="65">
        <v>2.5733758137640823</v>
      </c>
      <c r="J1229" s="162">
        <v>9.1279069767441854</v>
      </c>
    </row>
    <row r="1230" spans="1:10" hidden="1">
      <c r="A1230" s="64">
        <v>1527</v>
      </c>
      <c r="B1230" s="150">
        <v>4.43</v>
      </c>
      <c r="C1230" s="159">
        <v>0.20089285714285715</v>
      </c>
      <c r="D1230" s="152">
        <v>145372460.49661401</v>
      </c>
      <c r="E1230" s="26">
        <f>VLOOKUP(1527,季財報!$A:$H,8,0)</f>
        <v>3</v>
      </c>
      <c r="F1230" s="159">
        <v>4.1941666666666655E-2</v>
      </c>
      <c r="G1230" s="152">
        <v>8649661399.5485344</v>
      </c>
      <c r="H1230" s="152">
        <v>3387148000</v>
      </c>
      <c r="I1230" s="150">
        <v>2.5751018096822658</v>
      </c>
      <c r="J1230" s="152">
        <v>16.714321545021321</v>
      </c>
    </row>
    <row r="1231" spans="1:10" hidden="1">
      <c r="A1231" s="64">
        <v>3491</v>
      </c>
      <c r="B1231" s="150">
        <v>1.49</v>
      </c>
      <c r="C1231" s="159">
        <v>0.78014184397163122</v>
      </c>
      <c r="D1231" s="152">
        <v>51677852.348993286</v>
      </c>
      <c r="E1231" s="26">
        <f>VLOOKUP(3491,季財報!$A:$H,8,0)</f>
        <v>5</v>
      </c>
      <c r="F1231" s="159">
        <v>2.0225000000000003E-2</v>
      </c>
      <c r="G1231" s="152">
        <v>3581275167.7852345</v>
      </c>
      <c r="H1231" s="152">
        <v>1404862000</v>
      </c>
      <c r="I1231" s="150">
        <v>2.5770947398386612</v>
      </c>
      <c r="J1231" s="152">
        <v>14.904362416107382</v>
      </c>
    </row>
    <row r="1232" spans="1:10" hidden="1">
      <c r="A1232" s="64">
        <v>6803</v>
      </c>
      <c r="B1232" s="52">
        <v>3.2</v>
      </c>
      <c r="C1232" s="160">
        <v>0.84745762711864403</v>
      </c>
      <c r="D1232" s="157">
        <v>65625000</v>
      </c>
      <c r="E1232" s="26">
        <f>VLOOKUP(6803,季財報!$A:$H,8,0)</f>
        <v>3</v>
      </c>
      <c r="F1232" s="160">
        <v>6.4499999999999983E-3</v>
      </c>
      <c r="G1232" s="54">
        <v>10467187500</v>
      </c>
      <c r="H1232" s="54">
        <v>4075912000</v>
      </c>
      <c r="I1232" s="65">
        <v>2.5820355755551945</v>
      </c>
      <c r="J1232" s="162">
        <v>14.703906250000001</v>
      </c>
    </row>
    <row r="1233" spans="1:10" hidden="1">
      <c r="A1233" s="64">
        <v>2443</v>
      </c>
      <c r="B1233" s="155">
        <v>-0.5</v>
      </c>
      <c r="C1233" s="159">
        <v>1</v>
      </c>
      <c r="D1233" s="156">
        <v>146000000</v>
      </c>
      <c r="E1233" s="26">
        <f>VLOOKUP(2443,季財報!$A:$H,8,0)</f>
        <v>2</v>
      </c>
      <c r="F1233" s="159">
        <v>0.29539166666666666</v>
      </c>
      <c r="G1233" s="156">
        <v>1111060000</v>
      </c>
      <c r="H1233" s="156">
        <v>481387000</v>
      </c>
      <c r="I1233" s="155">
        <v>2.582989457043555</v>
      </c>
      <c r="J1233" s="156">
        <v>0</v>
      </c>
    </row>
    <row r="1234" spans="1:10" hidden="1">
      <c r="A1234" s="64">
        <v>2408</v>
      </c>
      <c r="B1234" s="150">
        <v>1.94</v>
      </c>
      <c r="C1234" s="159">
        <v>0.70727090524440483</v>
      </c>
      <c r="D1234" s="152">
        <v>2436597938.14433</v>
      </c>
      <c r="E1234" s="26">
        <f>VLOOKUP(2408,季財報!$A:$H,8,0)</f>
        <v>2</v>
      </c>
      <c r="F1234" s="159">
        <v>-1.4800000000000002E-2</v>
      </c>
      <c r="G1234" s="152">
        <v>117322190721.64949</v>
      </c>
      <c r="H1234" s="152">
        <v>44467953000</v>
      </c>
      <c r="I1234" s="150">
        <v>2.5963046440974615</v>
      </c>
      <c r="J1234" s="152">
        <v>8.7730130862265963</v>
      </c>
    </row>
    <row r="1235" spans="1:10" hidden="1">
      <c r="A1235" s="64">
        <v>5211</v>
      </c>
      <c r="B1235" s="52">
        <v>0.19</v>
      </c>
      <c r="C1235" s="160">
        <v>0.5</v>
      </c>
      <c r="D1235" s="157">
        <v>31578947.368421052</v>
      </c>
      <c r="E1235" s="26">
        <f>VLOOKUP(5211,季財報!$A:$H,8,0)</f>
        <v>3</v>
      </c>
      <c r="F1235" s="160">
        <v>-3.0166666666666662E-3</v>
      </c>
      <c r="G1235" s="54">
        <v>691578947.36842096</v>
      </c>
      <c r="H1235" s="54">
        <v>264787000</v>
      </c>
      <c r="I1235" s="65">
        <v>2.6014660865040926</v>
      </c>
      <c r="J1235" s="162">
        <v>50</v>
      </c>
    </row>
    <row r="1236" spans="1:10" hidden="1">
      <c r="A1236" s="64">
        <v>3356</v>
      </c>
      <c r="B1236" s="150">
        <v>1.67</v>
      </c>
      <c r="C1236" s="159">
        <v>0.589622641509434</v>
      </c>
      <c r="D1236" s="152">
        <v>77245508.982035935</v>
      </c>
      <c r="E1236" s="26">
        <f>VLOOKUP(3356,季財報!$A:$H,8,0)</f>
        <v>4</v>
      </c>
      <c r="F1236" s="159">
        <v>2.6250000000000028E-3</v>
      </c>
      <c r="G1236" s="152">
        <v>5546227544.9101801</v>
      </c>
      <c r="H1236" s="152">
        <v>2123342000</v>
      </c>
      <c r="I1236" s="150">
        <v>2.6065230638737282</v>
      </c>
      <c r="J1236" s="152">
        <v>18.229461077844309</v>
      </c>
    </row>
    <row r="1237" spans="1:10" hidden="1">
      <c r="A1237" s="64">
        <v>2704</v>
      </c>
      <c r="B1237" s="150">
        <v>0.43</v>
      </c>
      <c r="C1237" s="159">
        <v>0.49557522123893805</v>
      </c>
      <c r="D1237" s="152">
        <v>362790697.67441863</v>
      </c>
      <c r="E1237" s="26">
        <f>VLOOKUP(2704,季財報!$A:$H,8,0)</f>
        <v>2</v>
      </c>
      <c r="F1237" s="159">
        <v>9.099999999999997E-3</v>
      </c>
      <c r="G1237" s="152">
        <v>9432558139.5348835</v>
      </c>
      <c r="H1237" s="152">
        <v>3620021000</v>
      </c>
      <c r="I1237" s="150">
        <v>2.6207803860795904</v>
      </c>
      <c r="J1237" s="152">
        <v>30.502491694352159</v>
      </c>
    </row>
    <row r="1238" spans="1:10" hidden="1">
      <c r="A1238" s="64">
        <v>3252</v>
      </c>
      <c r="B1238" s="150">
        <v>-0.98</v>
      </c>
      <c r="C1238" s="159">
        <v>0.12121212121212122</v>
      </c>
      <c r="D1238" s="152">
        <v>21428571.428571429</v>
      </c>
      <c r="E1238" s="26">
        <f>VLOOKUP(3252,季財報!$A:$H,8,0)</f>
        <v>1</v>
      </c>
      <c r="F1238" s="159">
        <v>-4.5116666666666659E-2</v>
      </c>
      <c r="G1238" s="152">
        <v>406071428.57142854</v>
      </c>
      <c r="H1238" s="152">
        <v>144501000</v>
      </c>
      <c r="I1238" s="150">
        <v>2.623810631486835</v>
      </c>
      <c r="J1238" s="152">
        <v>0</v>
      </c>
    </row>
    <row r="1239" spans="1:10" hidden="1">
      <c r="A1239" s="64">
        <v>5490</v>
      </c>
      <c r="B1239" s="52">
        <v>0.82</v>
      </c>
      <c r="C1239" s="160">
        <v>0.92700729927007297</v>
      </c>
      <c r="D1239" s="157">
        <v>95121951.219512194</v>
      </c>
      <c r="E1239" s="26">
        <f>VLOOKUP(5490,季財報!$A:$H,8,0)</f>
        <v>3</v>
      </c>
      <c r="F1239" s="160">
        <v>0.26769166666666666</v>
      </c>
      <c r="G1239" s="54">
        <v>7990243902.439024</v>
      </c>
      <c r="H1239" s="54">
        <v>3299387000</v>
      </c>
      <c r="I1239" s="65">
        <v>2.6267349078925299</v>
      </c>
      <c r="J1239" s="162">
        <v>27.626272325715384</v>
      </c>
    </row>
    <row r="1240" spans="1:10" hidden="1">
      <c r="A1240" s="64">
        <v>6225</v>
      </c>
      <c r="B1240" s="52">
        <v>-0.11</v>
      </c>
      <c r="C1240" s="160">
        <v>1</v>
      </c>
      <c r="D1240" s="157">
        <v>90909090.909090906</v>
      </c>
      <c r="E1240" s="26">
        <f>VLOOKUP(6225,季財報!$A:$H,8,0)</f>
        <v>3</v>
      </c>
      <c r="F1240" s="160">
        <v>-0.13456666666666664</v>
      </c>
      <c r="G1240" s="54">
        <v>272727272.72727275</v>
      </c>
      <c r="H1240" s="54">
        <v>89940000</v>
      </c>
      <c r="I1240" s="65">
        <v>2.627683521796635</v>
      </c>
      <c r="J1240" s="162">
        <v>0</v>
      </c>
    </row>
    <row r="1241" spans="1:10" hidden="1">
      <c r="A1241" s="64">
        <v>3532</v>
      </c>
      <c r="B1241" s="150">
        <v>0.53</v>
      </c>
      <c r="C1241" s="159">
        <v>0.93565683646112596</v>
      </c>
      <c r="D1241" s="152">
        <v>781132075.47169805</v>
      </c>
      <c r="E1241" s="26">
        <f>VLOOKUP(3532,季財報!$A:$H,8,0)</f>
        <v>3</v>
      </c>
      <c r="F1241" s="159">
        <v>-1.2291666666666666E-2</v>
      </c>
      <c r="G1241" s="152">
        <v>28589433962.264149</v>
      </c>
      <c r="H1241" s="152">
        <v>10728750000</v>
      </c>
      <c r="I1241" s="150">
        <v>2.6300484395025965</v>
      </c>
      <c r="J1241" s="152">
        <v>18.4513704925123</v>
      </c>
    </row>
    <row r="1242" spans="1:10" hidden="1">
      <c r="A1242" s="64">
        <v>6451</v>
      </c>
      <c r="B1242" s="52">
        <v>3.36</v>
      </c>
      <c r="C1242" s="160">
        <v>0.64814814814814814</v>
      </c>
      <c r="D1242" s="157">
        <v>105357142.85714287</v>
      </c>
      <c r="E1242" s="26">
        <f>VLOOKUP(6451,季財報!$A:$H,8,0)</f>
        <v>1</v>
      </c>
      <c r="F1242" s="160">
        <v>-1.0833333333333334E-2</v>
      </c>
      <c r="G1242" s="54">
        <v>14539285714.285715</v>
      </c>
      <c r="H1242" s="54">
        <v>6066433000</v>
      </c>
      <c r="I1242" s="65">
        <v>2.6335130297892695</v>
      </c>
      <c r="J1242" s="162">
        <v>15.84183673469388</v>
      </c>
    </row>
    <row r="1243" spans="1:10" hidden="1">
      <c r="A1243" s="64">
        <v>4991</v>
      </c>
      <c r="B1243" s="52">
        <v>1.94</v>
      </c>
      <c r="C1243" s="160">
        <v>0.88198757763975155</v>
      </c>
      <c r="D1243" s="157">
        <v>56185567.010309279</v>
      </c>
      <c r="E1243" s="26">
        <f>VLOOKUP(4991,季財報!$A:$H,8,0)</f>
        <v>4</v>
      </c>
      <c r="F1243" s="160">
        <v>7.7666666666666676E-2</v>
      </c>
      <c r="G1243" s="54">
        <v>4174587628.8659792</v>
      </c>
      <c r="H1243" s="54">
        <v>1630249000</v>
      </c>
      <c r="I1243" s="65">
        <v>2.6499883699190447</v>
      </c>
      <c r="J1243" s="162">
        <v>10.855869754610135</v>
      </c>
    </row>
    <row r="1244" spans="1:10" hidden="1">
      <c r="A1244" s="64">
        <v>1446</v>
      </c>
      <c r="B1244" s="150">
        <v>-0.01</v>
      </c>
      <c r="C1244" s="159">
        <v>1</v>
      </c>
      <c r="D1244" s="152">
        <v>100000000</v>
      </c>
      <c r="E1244" s="26">
        <f>VLOOKUP(1446,季財報!$A:$H,8,0)</f>
        <v>4</v>
      </c>
      <c r="F1244" s="159">
        <v>9.9074999999999983E-2</v>
      </c>
      <c r="G1244" s="152">
        <v>2245000000</v>
      </c>
      <c r="H1244" s="152">
        <v>851764000</v>
      </c>
      <c r="I1244" s="150">
        <v>2.6576570710843361</v>
      </c>
      <c r="J1244" s="152">
        <v>0</v>
      </c>
    </row>
    <row r="1245" spans="1:10" hidden="1">
      <c r="A1245" s="64">
        <v>5007</v>
      </c>
      <c r="B1245" s="52">
        <v>0.78</v>
      </c>
      <c r="C1245" s="160">
        <v>0.81880733944954132</v>
      </c>
      <c r="D1245" s="157">
        <v>296153846.15384614</v>
      </c>
      <c r="E1245" s="26">
        <f>VLOOKUP(5007,季財報!$A:$H,8,0)</f>
        <v>2</v>
      </c>
      <c r="F1245" s="160">
        <v>1.4166666666666702E-3</v>
      </c>
      <c r="G1245" s="54">
        <v>18006153846.153843</v>
      </c>
      <c r="H1245" s="54">
        <v>6725773000</v>
      </c>
      <c r="I1245" s="65">
        <v>2.6587685671674928</v>
      </c>
      <c r="J1245" s="162">
        <v>23.799468505350855</v>
      </c>
    </row>
    <row r="1246" spans="1:10" hidden="1">
      <c r="A1246" s="64">
        <v>3169</v>
      </c>
      <c r="B1246" s="150">
        <v>0.42</v>
      </c>
      <c r="C1246" s="159">
        <v>0.84615384615384615</v>
      </c>
      <c r="D1246" s="152">
        <v>52380952.380952381</v>
      </c>
      <c r="E1246" s="26">
        <f>VLOOKUP(3169,季財報!$A:$H,8,0)</f>
        <v>1</v>
      </c>
      <c r="F1246" s="159">
        <v>3.8691666666666673E-2</v>
      </c>
      <c r="G1246" s="152">
        <v>1555714285.7142856</v>
      </c>
      <c r="H1246" s="152">
        <v>604533000</v>
      </c>
      <c r="I1246" s="150">
        <v>2.6603866233122178</v>
      </c>
      <c r="J1246" s="152">
        <v>20.892857142857146</v>
      </c>
    </row>
    <row r="1247" spans="1:10" hidden="1">
      <c r="A1247" s="64">
        <v>8255</v>
      </c>
      <c r="B1247" s="52">
        <v>2.36</v>
      </c>
      <c r="C1247" s="160">
        <v>0.95138888888888884</v>
      </c>
      <c r="D1247" s="157">
        <v>75000000</v>
      </c>
      <c r="E1247" s="26">
        <f>VLOOKUP(8255,季財報!$A:$H,8,0)</f>
        <v>3</v>
      </c>
      <c r="F1247" s="160">
        <v>1.4858333333333335E-2</v>
      </c>
      <c r="G1247" s="54">
        <v>9262500000</v>
      </c>
      <c r="H1247" s="54">
        <v>3513223000</v>
      </c>
      <c r="I1247" s="65">
        <v>2.6657905893059275</v>
      </c>
      <c r="J1247" s="162">
        <v>13.75108251886676</v>
      </c>
    </row>
    <row r="1248" spans="1:10">
      <c r="A1248" s="64">
        <v>2923</v>
      </c>
      <c r="B1248" s="150">
        <v>0.45</v>
      </c>
      <c r="C1248" s="159">
        <v>1</v>
      </c>
      <c r="D1248" s="152">
        <v>1722222222.2222221</v>
      </c>
      <c r="E1248" s="26">
        <f>VLOOKUP(2923,季財報!$A:$H,8,0)</f>
        <v>4</v>
      </c>
      <c r="F1248" s="159">
        <v>0.56569166666666659</v>
      </c>
      <c r="G1248" s="152">
        <v>38577777777.777771</v>
      </c>
      <c r="H1248" s="152">
        <v>14718936000</v>
      </c>
      <c r="I1248" s="150">
        <v>2.6786704431599473</v>
      </c>
      <c r="J1248" s="152">
        <v>12.444444444444443</v>
      </c>
    </row>
    <row r="1249" spans="1:11" hidden="1">
      <c r="A1249" s="64">
        <v>3105</v>
      </c>
      <c r="B1249" s="150">
        <v>1.32</v>
      </c>
      <c r="C1249" s="159">
        <v>0.94187779433681074</v>
      </c>
      <c r="D1249" s="152">
        <v>609848484.84848487</v>
      </c>
      <c r="E1249" s="26">
        <f>VLOOKUP(3105,季財報!$A:$H,8,0)</f>
        <v>4</v>
      </c>
      <c r="F1249" s="159">
        <v>1.9041666666666665E-2</v>
      </c>
      <c r="G1249" s="152">
        <v>31102272727.272728</v>
      </c>
      <c r="H1249" s="152">
        <v>11755391000</v>
      </c>
      <c r="I1249" s="150">
        <v>2.6902068857753059</v>
      </c>
      <c r="J1249" s="152">
        <v>10.255142405063289</v>
      </c>
    </row>
    <row r="1250" spans="1:11" hidden="1">
      <c r="A1250" s="64">
        <v>4746</v>
      </c>
      <c r="B1250" s="52">
        <v>1.34</v>
      </c>
      <c r="C1250" s="160">
        <v>0.74045801526717558</v>
      </c>
      <c r="D1250" s="157">
        <v>85074626.865671635</v>
      </c>
      <c r="E1250" s="26">
        <f>VLOOKUP(4746,季財報!$A:$H,8,0)</f>
        <v>5</v>
      </c>
      <c r="F1250" s="160">
        <v>0.11863333333333333</v>
      </c>
      <c r="G1250" s="54">
        <v>6397611940.2985067</v>
      </c>
      <c r="H1250" s="54">
        <v>2501348000</v>
      </c>
      <c r="I1250" s="65">
        <v>2.7014227203087304</v>
      </c>
      <c r="J1250" s="162">
        <v>18.947530389290659</v>
      </c>
    </row>
    <row r="1251" spans="1:11" hidden="1">
      <c r="A1251" s="64">
        <v>6206</v>
      </c>
      <c r="B1251" s="52">
        <v>1.98</v>
      </c>
      <c r="C1251" s="160">
        <v>0.88037383177570094</v>
      </c>
      <c r="D1251" s="157">
        <v>145959595.95959595</v>
      </c>
      <c r="E1251" s="26">
        <f>VLOOKUP(6206,季財報!$A:$H,8,0)</f>
        <v>2</v>
      </c>
      <c r="F1251" s="160">
        <v>1.8858333333333335E-2</v>
      </c>
      <c r="G1251" s="54">
        <v>13720202020.202019</v>
      </c>
      <c r="H1251" s="54">
        <v>5126940000</v>
      </c>
      <c r="I1251" s="65">
        <v>2.7017046915242191</v>
      </c>
      <c r="J1251" s="162">
        <v>13.481417143837527</v>
      </c>
    </row>
    <row r="1252" spans="1:11" hidden="1">
      <c r="A1252" s="64">
        <v>1784</v>
      </c>
      <c r="B1252" s="150">
        <v>0.1</v>
      </c>
      <c r="C1252" s="159">
        <v>0.5</v>
      </c>
      <c r="D1252" s="152">
        <v>50000000</v>
      </c>
      <c r="E1252" s="26">
        <f>VLOOKUP(1784,季財報!$A:$H,8,0)</f>
        <v>0</v>
      </c>
      <c r="F1252" s="159">
        <v>1.7758333333333334E-2</v>
      </c>
      <c r="G1252" s="152">
        <v>1714999999.9999998</v>
      </c>
      <c r="H1252" s="152">
        <v>638773000</v>
      </c>
      <c r="I1252" s="150">
        <v>2.7066354390904439</v>
      </c>
      <c r="J1252" s="152">
        <v>50</v>
      </c>
    </row>
    <row r="1253" spans="1:11" hidden="1">
      <c r="A1253" s="64">
        <v>3474</v>
      </c>
      <c r="B1253" s="150">
        <v>0.88</v>
      </c>
      <c r="C1253" s="159">
        <v>0.78807180081065431</v>
      </c>
      <c r="D1253" s="152">
        <v>6561363636.363636</v>
      </c>
      <c r="E1253" s="26">
        <f>VLOOKUP(3474,季財報!$A:$H,8,0)</f>
        <v>3</v>
      </c>
      <c r="F1253" s="159">
        <v>-5.5183333333333327E-2</v>
      </c>
      <c r="G1253" s="152">
        <v>183062045454.54544</v>
      </c>
      <c r="H1253" s="152">
        <v>63967990000</v>
      </c>
      <c r="I1253" s="150">
        <v>2.7106117896842465</v>
      </c>
      <c r="J1253" s="152">
        <v>10.057632255694342</v>
      </c>
    </row>
    <row r="1254" spans="1:11" hidden="1">
      <c r="A1254" s="64">
        <v>2606</v>
      </c>
      <c r="B1254" s="150">
        <v>0.5</v>
      </c>
      <c r="C1254" s="159">
        <v>0</v>
      </c>
      <c r="D1254" s="152">
        <v>856000000</v>
      </c>
      <c r="E1254" s="26">
        <f>VLOOKUP(2606,季財報!$A:$H,8,0)</f>
        <v>3</v>
      </c>
      <c r="F1254" s="159">
        <v>-1.8333333333332941E-4</v>
      </c>
      <c r="G1254" s="152">
        <v>22213200000</v>
      </c>
      <c r="H1254" s="152">
        <v>8122314000</v>
      </c>
      <c r="I1254" s="150">
        <v>2.7114759473265782</v>
      </c>
      <c r="J1254" s="152">
        <v>0</v>
      </c>
    </row>
    <row r="1255" spans="1:11" hidden="1">
      <c r="A1255" s="64">
        <v>4114</v>
      </c>
      <c r="B1255" s="52">
        <v>0.1</v>
      </c>
      <c r="C1255" s="160">
        <v>1</v>
      </c>
      <c r="D1255" s="157">
        <v>130000000</v>
      </c>
      <c r="E1255" s="26">
        <f>VLOOKUP(4114,季財報!$A:$H,8,0)</f>
        <v>3</v>
      </c>
      <c r="F1255" s="160">
        <v>2.4041666666666666E-2</v>
      </c>
      <c r="G1255" s="54">
        <v>4712500000</v>
      </c>
      <c r="H1255" s="54">
        <v>1761350000</v>
      </c>
      <c r="I1255" s="65">
        <v>2.7180135228742826</v>
      </c>
      <c r="J1255" s="162">
        <v>50</v>
      </c>
    </row>
    <row r="1256" spans="1:11" hidden="1">
      <c r="A1256" s="64">
        <v>1104</v>
      </c>
      <c r="B1256" s="150">
        <v>0.48</v>
      </c>
      <c r="C1256" s="159">
        <v>1.9877675840978593E-2</v>
      </c>
      <c r="D1256" s="152">
        <v>627083333.33333337</v>
      </c>
      <c r="E1256" s="26">
        <f>VLOOKUP(1104,季財報!$A:$H,8,0)</f>
        <v>2</v>
      </c>
      <c r="F1256" s="159">
        <v>1.0841666666666666E-2</v>
      </c>
      <c r="G1256" s="152">
        <v>14391562500</v>
      </c>
      <c r="H1256" s="152">
        <v>5238384000</v>
      </c>
      <c r="I1256" s="150">
        <v>2.7308265650406001</v>
      </c>
      <c r="J1256" s="152">
        <v>50</v>
      </c>
    </row>
    <row r="1257" spans="1:11" hidden="1">
      <c r="A1257" s="64">
        <v>2434</v>
      </c>
      <c r="B1257" s="150">
        <v>-1.58</v>
      </c>
      <c r="C1257" s="159">
        <v>1</v>
      </c>
      <c r="D1257" s="152">
        <v>110759493.67088607</v>
      </c>
      <c r="E1257" s="26">
        <f>VLOOKUP(2434,季財報!$A:$H,8,0)</f>
        <v>3</v>
      </c>
      <c r="F1257" s="159">
        <v>7.648333333333332E-2</v>
      </c>
      <c r="G1257" s="152">
        <v>594778481.01265824</v>
      </c>
      <c r="H1257" s="152">
        <v>214245000</v>
      </c>
      <c r="I1257" s="150">
        <v>2.7357960728437036</v>
      </c>
      <c r="J1257" s="152">
        <v>0</v>
      </c>
    </row>
    <row r="1258" spans="1:11" hidden="1">
      <c r="A1258" s="64">
        <v>4139</v>
      </c>
      <c r="B1258" s="52">
        <v>-0.42</v>
      </c>
      <c r="C1258" s="160">
        <v>0.6</v>
      </c>
      <c r="D1258" s="157">
        <v>35714285.714285716</v>
      </c>
      <c r="E1258" s="26">
        <f>VLOOKUP(4139,季財報!$A:$H,8,0)</f>
        <v>2</v>
      </c>
      <c r="F1258" s="160">
        <v>5.6250000000000001E-2</v>
      </c>
      <c r="G1258" s="54">
        <v>2446428571.4285717</v>
      </c>
      <c r="H1258" s="54">
        <v>926875000</v>
      </c>
      <c r="I1258" s="65">
        <v>2.7461949764757332</v>
      </c>
      <c r="J1258" s="162">
        <v>0</v>
      </c>
    </row>
    <row r="1259" spans="1:11" hidden="1">
      <c r="A1259" s="64">
        <v>4420</v>
      </c>
      <c r="B1259" s="52">
        <v>0.15</v>
      </c>
      <c r="C1259" s="160">
        <v>9.3333333333333338E-2</v>
      </c>
      <c r="D1259" s="157">
        <v>33333333.333333336</v>
      </c>
      <c r="E1259" s="26">
        <f>VLOOKUP(4420,季財報!$A:$H,8,0)</f>
        <v>1</v>
      </c>
      <c r="F1259" s="160">
        <v>9.0299999999999991E-2</v>
      </c>
      <c r="G1259" s="54">
        <v>1441666666.6666667</v>
      </c>
      <c r="H1259" s="54">
        <v>563809000</v>
      </c>
      <c r="I1259" s="65">
        <v>2.7736306921956126</v>
      </c>
      <c r="J1259" s="162">
        <v>50</v>
      </c>
    </row>
    <row r="1260" spans="1:11" hidden="1">
      <c r="A1260" s="64">
        <v>2495</v>
      </c>
      <c r="B1260" s="150">
        <v>0.42</v>
      </c>
      <c r="C1260" s="159">
        <v>0.22068965517241379</v>
      </c>
      <c r="D1260" s="152">
        <v>278571428.5714286</v>
      </c>
      <c r="E1260" s="26">
        <f>VLOOKUP(2495,季財報!$A:$H,8,0)</f>
        <v>3</v>
      </c>
      <c r="F1260" s="159">
        <v>3.8300000000000008E-2</v>
      </c>
      <c r="G1260" s="152">
        <v>4791428571.4285717</v>
      </c>
      <c r="H1260" s="152">
        <v>1776721000</v>
      </c>
      <c r="I1260" s="150">
        <v>2.7849953683052582</v>
      </c>
      <c r="J1260" s="152">
        <v>46.391369047619051</v>
      </c>
      <c r="K1260" s="32"/>
    </row>
    <row r="1261" spans="1:11" hidden="1">
      <c r="A1261" s="64">
        <v>3687</v>
      </c>
      <c r="B1261" s="150">
        <v>-1</v>
      </c>
      <c r="C1261" s="159">
        <v>1</v>
      </c>
      <c r="D1261" s="152">
        <v>30000000</v>
      </c>
      <c r="E1261" s="26">
        <f>VLOOKUP(3687,季財報!$A:$H,8,0)</f>
        <v>3</v>
      </c>
      <c r="F1261" s="159">
        <v>8.3016666666666641E-2</v>
      </c>
      <c r="G1261" s="152">
        <v>1908000000</v>
      </c>
      <c r="H1261" s="152">
        <v>712885000</v>
      </c>
      <c r="I1261" s="150">
        <v>2.8158704109281745</v>
      </c>
      <c r="J1261" s="152">
        <v>0</v>
      </c>
    </row>
    <row r="1262" spans="1:11" hidden="1">
      <c r="A1262" s="64">
        <v>1468</v>
      </c>
      <c r="B1262" s="150">
        <v>-0.08</v>
      </c>
      <c r="C1262" s="159">
        <v>1</v>
      </c>
      <c r="D1262" s="152">
        <v>162500000</v>
      </c>
      <c r="E1262" s="26">
        <f>VLOOKUP(1468,季財報!$A:$H,8,0)</f>
        <v>1</v>
      </c>
      <c r="F1262" s="159">
        <v>5.7666666666666665E-2</v>
      </c>
      <c r="G1262" s="152">
        <v>1540500000</v>
      </c>
      <c r="H1262" s="152">
        <v>554776000</v>
      </c>
      <c r="I1262" s="150">
        <v>2.8281519069142393</v>
      </c>
      <c r="J1262" s="152">
        <v>0</v>
      </c>
    </row>
    <row r="1263" spans="1:11" hidden="1">
      <c r="A1263" s="64">
        <v>2066</v>
      </c>
      <c r="B1263" s="150">
        <v>2.62</v>
      </c>
      <c r="C1263" s="159">
        <v>0.64539007092198586</v>
      </c>
      <c r="D1263" s="152">
        <v>35877862.595419846</v>
      </c>
      <c r="E1263" s="26">
        <f>VLOOKUP(2066,季財報!$A:$H,8,0)</f>
        <v>3</v>
      </c>
      <c r="F1263" s="159">
        <v>1.8925000000000001E-2</v>
      </c>
      <c r="G1263" s="152">
        <v>3713358778.6259542</v>
      </c>
      <c r="H1263" s="152">
        <v>1310803000</v>
      </c>
      <c r="I1263" s="150">
        <v>2.8297668953269954</v>
      </c>
      <c r="J1263" s="152">
        <v>15.302302659172886</v>
      </c>
    </row>
    <row r="1264" spans="1:11" hidden="1">
      <c r="A1264" s="64">
        <v>5904</v>
      </c>
      <c r="B1264" s="52">
        <v>2.93</v>
      </c>
      <c r="C1264" s="160">
        <v>0.97736625514403297</v>
      </c>
      <c r="D1264" s="157">
        <v>95221843.003412962</v>
      </c>
      <c r="E1264" s="26">
        <f>VLOOKUP(5904,季財報!$A:$H,8,0)</f>
        <v>4</v>
      </c>
      <c r="F1264" s="160">
        <v>1.3724999999999999E-2</v>
      </c>
      <c r="G1264" s="54">
        <v>29804436860.068256</v>
      </c>
      <c r="H1264" s="54">
        <v>10625193000</v>
      </c>
      <c r="I1264" s="65">
        <v>2.8299519359656569</v>
      </c>
      <c r="J1264" s="162">
        <v>27.324950601760371</v>
      </c>
    </row>
    <row r="1265" spans="1:10" hidden="1">
      <c r="A1265" s="64">
        <v>4160</v>
      </c>
      <c r="B1265" s="52">
        <v>-0.13</v>
      </c>
      <c r="C1265" s="160">
        <v>0</v>
      </c>
      <c r="D1265" s="157">
        <v>23076923.076923076</v>
      </c>
      <c r="E1265" s="26">
        <f>VLOOKUP(4160,季財報!$A:$H,8,0)</f>
        <v>1</v>
      </c>
      <c r="F1265" s="160">
        <v>0.10969166666666667</v>
      </c>
      <c r="G1265" s="54">
        <v>731538461.53846145</v>
      </c>
      <c r="H1265" s="54">
        <v>272532000</v>
      </c>
      <c r="I1265" s="65">
        <v>2.8324342613154405</v>
      </c>
      <c r="J1265" s="162">
        <v>0</v>
      </c>
    </row>
    <row r="1266" spans="1:10" hidden="1">
      <c r="A1266" s="64">
        <v>8942</v>
      </c>
      <c r="B1266" s="52">
        <v>2.4700000000000002</v>
      </c>
      <c r="C1266" s="160">
        <v>0.70336391437308865</v>
      </c>
      <c r="D1266" s="157">
        <v>154655870.44534412</v>
      </c>
      <c r="E1266" s="26">
        <f>VLOOKUP(8942,季財報!$A:$H,8,0)</f>
        <v>3</v>
      </c>
      <c r="F1266" s="160">
        <v>2.3716666666666667E-2</v>
      </c>
      <c r="G1266" s="54">
        <v>13733441295.546558</v>
      </c>
      <c r="H1266" s="54">
        <v>4848362000</v>
      </c>
      <c r="I1266" s="65">
        <v>2.832466095863214</v>
      </c>
      <c r="J1266" s="162">
        <v>12.77838408730857</v>
      </c>
    </row>
    <row r="1267" spans="1:10" hidden="1">
      <c r="A1267" s="64">
        <v>6238</v>
      </c>
      <c r="B1267" s="52">
        <v>3.12</v>
      </c>
      <c r="C1267" s="160">
        <v>1</v>
      </c>
      <c r="D1267" s="157">
        <v>40064102.56410256</v>
      </c>
      <c r="E1267" s="26">
        <f>VLOOKUP(6238,季財報!$A:$H,8,0)</f>
        <v>4</v>
      </c>
      <c r="F1267" s="160">
        <v>0.14255833333333334</v>
      </c>
      <c r="G1267" s="54">
        <v>6570512820.5128202</v>
      </c>
      <c r="H1267" s="54">
        <v>2444530000</v>
      </c>
      <c r="I1267" s="65">
        <v>2.8401962394383076</v>
      </c>
      <c r="J1267" s="162">
        <v>13.141025641025641</v>
      </c>
    </row>
    <row r="1268" spans="1:10" hidden="1">
      <c r="A1268" s="64">
        <v>3631</v>
      </c>
      <c r="B1268" s="150">
        <v>-0.69</v>
      </c>
      <c r="C1268" s="159">
        <v>0.4157303370786517</v>
      </c>
      <c r="D1268" s="152">
        <v>79710144.927536234</v>
      </c>
      <c r="E1268" s="26">
        <f>VLOOKUP(3631,季財報!$A:$H,8,0)</f>
        <v>2</v>
      </c>
      <c r="F1268" s="159">
        <v>-2.564166666666667E-2</v>
      </c>
      <c r="G1268" s="152">
        <v>1972826086.9565217</v>
      </c>
      <c r="H1268" s="152">
        <v>665467000</v>
      </c>
      <c r="I1268" s="150">
        <v>2.8458915392632367</v>
      </c>
      <c r="J1268" s="152">
        <v>0</v>
      </c>
    </row>
    <row r="1269" spans="1:10" hidden="1">
      <c r="A1269" s="64">
        <v>2474</v>
      </c>
      <c r="B1269" s="150">
        <v>10.58</v>
      </c>
      <c r="C1269" s="159">
        <v>0.70091784195209317</v>
      </c>
      <c r="D1269" s="152">
        <v>770699432.89224946</v>
      </c>
      <c r="E1269" s="26">
        <f>VLOOKUP(2474,季財報!$A:$H,8,0)</f>
        <v>3</v>
      </c>
      <c r="F1269" s="159">
        <v>4.8125000000000001E-2</v>
      </c>
      <c r="G1269" s="152">
        <v>224273534971.64459</v>
      </c>
      <c r="H1269" s="152">
        <v>81547149000</v>
      </c>
      <c r="I1269" s="150">
        <v>2.847663260024984</v>
      </c>
      <c r="J1269" s="152">
        <v>9.810253160812147</v>
      </c>
    </row>
    <row r="1270" spans="1:10" hidden="1">
      <c r="A1270" s="64">
        <v>2458</v>
      </c>
      <c r="B1270" s="150">
        <v>0.56999999999999995</v>
      </c>
      <c r="C1270" s="159">
        <v>0.83080808080808077</v>
      </c>
      <c r="D1270" s="152">
        <v>414035087.7192983</v>
      </c>
      <c r="E1270" s="26">
        <f>VLOOKUP(2458,季財報!$A:$H,8,0)</f>
        <v>2</v>
      </c>
      <c r="F1270" s="159">
        <v>1.1016666666666668E-2</v>
      </c>
      <c r="G1270" s="152">
        <v>19169824561.403511</v>
      </c>
      <c r="H1270" s="152">
        <v>6744462000</v>
      </c>
      <c r="I1270" s="150">
        <v>2.8477870711368731</v>
      </c>
      <c r="J1270" s="152">
        <v>24.442489201727724</v>
      </c>
    </row>
    <row r="1271" spans="1:10" hidden="1">
      <c r="A1271" s="64">
        <v>8433</v>
      </c>
      <c r="B1271" s="52">
        <v>2.15</v>
      </c>
      <c r="C1271" s="160">
        <v>0.83597883597883593</v>
      </c>
      <c r="D1271" s="157">
        <v>52558139.534883723</v>
      </c>
      <c r="E1271" s="26">
        <f>VLOOKUP(8433,季財報!$A:$H,8,0)</f>
        <v>4</v>
      </c>
      <c r="F1271" s="160">
        <v>3.7491666666666666E-2</v>
      </c>
      <c r="G1271" s="54">
        <v>6937674418.6046515</v>
      </c>
      <c r="H1271" s="54">
        <v>2485378000</v>
      </c>
      <c r="I1271" s="65">
        <v>2.8543452095539275</v>
      </c>
      <c r="J1271" s="162">
        <v>18.360317927583164</v>
      </c>
    </row>
    <row r="1272" spans="1:10" hidden="1">
      <c r="A1272" s="64">
        <v>4163</v>
      </c>
      <c r="B1272" s="52">
        <v>2.61</v>
      </c>
      <c r="C1272" s="160">
        <v>0.69230769230769229</v>
      </c>
      <c r="D1272" s="157">
        <v>40229885.057471268</v>
      </c>
      <c r="E1272" s="26">
        <f>VLOOKUP(4163,季財報!$A:$H,8,0)</f>
        <v>3</v>
      </c>
      <c r="F1272" s="160">
        <v>2.6766666666666671E-2</v>
      </c>
      <c r="G1272" s="54">
        <v>5229885057.4712648</v>
      </c>
      <c r="H1272" s="54">
        <v>1859555000</v>
      </c>
      <c r="I1272" s="65">
        <v>2.8670477735603401</v>
      </c>
      <c r="J1272" s="162">
        <v>17.986377181779481</v>
      </c>
    </row>
    <row r="1273" spans="1:10" hidden="1">
      <c r="A1273" s="64">
        <v>4736</v>
      </c>
      <c r="B1273" s="52">
        <v>3.25</v>
      </c>
      <c r="C1273" s="160">
        <v>0.60691823899371067</v>
      </c>
      <c r="D1273" s="157">
        <v>68923076.923076928</v>
      </c>
      <c r="E1273" s="26">
        <f>VLOOKUP(4736,季財報!$A:$H,8,0)</f>
        <v>5</v>
      </c>
      <c r="F1273" s="160">
        <v>2.8508333333333333E-2</v>
      </c>
      <c r="G1273" s="54">
        <v>7650461538.4615393</v>
      </c>
      <c r="H1273" s="54">
        <v>2659296000</v>
      </c>
      <c r="I1273" s="65">
        <v>2.8792231377956488</v>
      </c>
      <c r="J1273" s="162">
        <v>14.068553208449583</v>
      </c>
    </row>
    <row r="1274" spans="1:10" hidden="1">
      <c r="A1274" s="64">
        <v>9926</v>
      </c>
      <c r="B1274" s="52">
        <v>0.49</v>
      </c>
      <c r="C1274" s="160">
        <v>0.81097560975609762</v>
      </c>
      <c r="D1274" s="157">
        <v>171428571.42857143</v>
      </c>
      <c r="E1274" s="26">
        <f>VLOOKUP(9926,季財報!$A:$H,8,0)</f>
        <v>2</v>
      </c>
      <c r="F1274" s="160">
        <v>-1.9749999999999993E-2</v>
      </c>
      <c r="G1274" s="54">
        <v>6857142857.1428576</v>
      </c>
      <c r="H1274" s="54">
        <v>2320914000</v>
      </c>
      <c r="I1274" s="65">
        <v>2.8798432213350309</v>
      </c>
      <c r="J1274" s="162">
        <v>25.164953199324842</v>
      </c>
    </row>
    <row r="1275" spans="1:10" hidden="1">
      <c r="A1275" s="64">
        <v>1262</v>
      </c>
      <c r="B1275" s="150">
        <v>2.73</v>
      </c>
      <c r="C1275" s="159">
        <v>1</v>
      </c>
      <c r="D1275" s="152">
        <v>148351648.35164836</v>
      </c>
      <c r="E1275" s="26">
        <f>VLOOKUP(1262,季財報!$A:$H,8,0)</f>
        <v>3</v>
      </c>
      <c r="F1275" s="159">
        <v>7.5000000000000121E-4</v>
      </c>
      <c r="G1275" s="152">
        <v>17802197802.197803</v>
      </c>
      <c r="H1275" s="152">
        <v>6165819000</v>
      </c>
      <c r="I1275" s="150">
        <v>2.8825016834966393</v>
      </c>
      <c r="J1275" s="152">
        <v>10.989010989010989</v>
      </c>
    </row>
    <row r="1276" spans="1:10" hidden="1">
      <c r="A1276" s="64">
        <v>3035</v>
      </c>
      <c r="B1276" s="150">
        <v>0.43</v>
      </c>
      <c r="C1276" s="159">
        <v>0.9193083573487032</v>
      </c>
      <c r="D1276" s="152">
        <v>390697674.41860467</v>
      </c>
      <c r="E1276" s="26">
        <f>VLOOKUP(3035,季財報!$A:$H,8,0)</f>
        <v>1</v>
      </c>
      <c r="F1276" s="159">
        <v>1.1591666666666667E-2</v>
      </c>
      <c r="G1276" s="152">
        <v>18577674418.604652</v>
      </c>
      <c r="H1276" s="152">
        <v>6500489000</v>
      </c>
      <c r="I1276" s="150">
        <v>2.8830975511561152</v>
      </c>
      <c r="J1276" s="152">
        <v>30.071899832324849</v>
      </c>
    </row>
    <row r="1277" spans="1:10" hidden="1">
      <c r="A1277" s="64">
        <v>6183</v>
      </c>
      <c r="B1277" s="52">
        <v>0.41</v>
      </c>
      <c r="C1277" s="160">
        <v>0.93846153846153846</v>
      </c>
      <c r="D1277" s="157">
        <v>151219512.19512197</v>
      </c>
      <c r="E1277" s="26">
        <f>VLOOKUP(6183,季財報!$A:$H,8,0)</f>
        <v>1</v>
      </c>
      <c r="F1277" s="160">
        <v>8.397499999999998E-2</v>
      </c>
      <c r="G1277" s="54">
        <v>3901463414.6341472</v>
      </c>
      <c r="H1277" s="54">
        <v>1354305000</v>
      </c>
      <c r="I1277" s="65">
        <v>2.8990372227788868</v>
      </c>
      <c r="J1277" s="162">
        <v>16.76329468212715</v>
      </c>
    </row>
    <row r="1278" spans="1:10" hidden="1">
      <c r="A1278" s="64">
        <v>1762</v>
      </c>
      <c r="B1278" s="150">
        <v>0.41</v>
      </c>
      <c r="C1278" s="159">
        <v>0.66666666666666663</v>
      </c>
      <c r="D1278" s="152">
        <v>78048780.48780489</v>
      </c>
      <c r="E1278" s="26">
        <f>VLOOKUP(1762,季財報!$A:$H,8,0)</f>
        <v>2</v>
      </c>
      <c r="F1278" s="159">
        <v>0.18474166666666667</v>
      </c>
      <c r="G1278" s="152">
        <v>3239024390.2439032</v>
      </c>
      <c r="H1278" s="152">
        <v>1134561000</v>
      </c>
      <c r="I1278" s="150">
        <v>2.9381597681455656</v>
      </c>
      <c r="J1278" s="152">
        <v>37.957317073170735</v>
      </c>
    </row>
    <row r="1279" spans="1:10" hidden="1">
      <c r="A1279" s="64">
        <v>1437</v>
      </c>
      <c r="B1279" s="150">
        <v>0.11</v>
      </c>
      <c r="C1279" s="159">
        <v>0.81578947368421051</v>
      </c>
      <c r="D1279" s="152">
        <v>200000000</v>
      </c>
      <c r="E1279" s="26">
        <f>VLOOKUP(1437,季財報!$A:$H,8,0)</f>
        <v>4</v>
      </c>
      <c r="F1279" s="159">
        <v>1.6666666666666796E-4</v>
      </c>
      <c r="G1279" s="152">
        <v>2410000000</v>
      </c>
      <c r="H1279" s="152">
        <v>810239000</v>
      </c>
      <c r="I1279" s="150">
        <v>2.9488599169180132</v>
      </c>
      <c r="J1279" s="152">
        <v>33.570381231671554</v>
      </c>
    </row>
    <row r="1280" spans="1:10" hidden="1">
      <c r="A1280" s="64">
        <v>8416</v>
      </c>
      <c r="B1280" s="52">
        <v>0.99</v>
      </c>
      <c r="C1280" s="160">
        <v>0.97333333333333338</v>
      </c>
      <c r="D1280" s="157">
        <v>25252525.252525251</v>
      </c>
      <c r="E1280" s="26">
        <f>VLOOKUP(8416,季財報!$A:$H,8,0)</f>
        <v>1</v>
      </c>
      <c r="F1280" s="160">
        <v>4.946666666666668E-2</v>
      </c>
      <c r="G1280" s="54">
        <v>2424242424.242424</v>
      </c>
      <c r="H1280" s="54">
        <v>840671000</v>
      </c>
      <c r="I1280" s="65">
        <v>2.9518682023318208</v>
      </c>
      <c r="J1280" s="162">
        <v>24.906600249066003</v>
      </c>
    </row>
    <row r="1281" spans="1:10" hidden="1">
      <c r="A1281" s="64">
        <v>5347</v>
      </c>
      <c r="B1281" s="52">
        <v>0.52</v>
      </c>
      <c r="C1281" s="160">
        <v>0.88087774294670851</v>
      </c>
      <c r="D1281" s="157">
        <v>1636538461.5384614</v>
      </c>
      <c r="E1281" s="26">
        <f>VLOOKUP(5347,季財報!$A:$H,8,0)</f>
        <v>1</v>
      </c>
      <c r="F1281" s="160">
        <v>-4.8583333333333352E-3</v>
      </c>
      <c r="G1281" s="54">
        <v>70943942307.692307</v>
      </c>
      <c r="H1281" s="54">
        <v>23813530000</v>
      </c>
      <c r="I1281" s="65">
        <v>2.9558197543319604</v>
      </c>
      <c r="J1281" s="162">
        <v>23.659748836572678</v>
      </c>
    </row>
    <row r="1282" spans="1:10" hidden="1">
      <c r="A1282" s="64">
        <v>1752</v>
      </c>
      <c r="B1282" s="150">
        <v>0.69</v>
      </c>
      <c r="C1282" s="159">
        <v>1</v>
      </c>
      <c r="D1282" s="152">
        <v>91304347.826086968</v>
      </c>
      <c r="E1282" s="26">
        <f>VLOOKUP(1752,季財報!$A:$H,8,0)</f>
        <v>3</v>
      </c>
      <c r="F1282" s="159">
        <v>2.7166666666666672E-2</v>
      </c>
      <c r="G1282" s="152">
        <v>4378043478.26087</v>
      </c>
      <c r="H1282" s="152">
        <v>1494666000</v>
      </c>
      <c r="I1282" s="150">
        <v>2.9574161155696954</v>
      </c>
      <c r="J1282" s="152">
        <v>17.373188405797105</v>
      </c>
    </row>
    <row r="1283" spans="1:10" hidden="1">
      <c r="A1283" s="64">
        <v>3428</v>
      </c>
      <c r="B1283" s="150">
        <v>1.31</v>
      </c>
      <c r="C1283" s="159">
        <v>0.94974874371859297</v>
      </c>
      <c r="D1283" s="152">
        <v>95419847.328244269</v>
      </c>
      <c r="E1283" s="26">
        <f>VLOOKUP(3428,季財報!$A:$H,8,0)</f>
        <v>5</v>
      </c>
      <c r="F1283" s="159">
        <v>6.1650000000000003E-2</v>
      </c>
      <c r="G1283" s="152">
        <v>5248091603.0534344</v>
      </c>
      <c r="H1283" s="152">
        <v>1797822000</v>
      </c>
      <c r="I1283" s="150">
        <v>2.9649095984184983</v>
      </c>
      <c r="J1283" s="152">
        <v>11.051536814895593</v>
      </c>
    </row>
    <row r="1284" spans="1:10" hidden="1">
      <c r="A1284" s="64">
        <v>5704</v>
      </c>
      <c r="B1284" s="52">
        <v>0.26</v>
      </c>
      <c r="C1284" s="160">
        <v>0.83333333333333337</v>
      </c>
      <c r="D1284" s="157">
        <v>38461538.461538464</v>
      </c>
      <c r="E1284" s="26">
        <f>VLOOKUP(5704,季財報!$A:$H,8,0)</f>
        <v>1</v>
      </c>
      <c r="F1284" s="160">
        <v>4.8025000000000005E-2</v>
      </c>
      <c r="G1284" s="54">
        <v>980769230.76923084</v>
      </c>
      <c r="H1284" s="54">
        <v>329017000</v>
      </c>
      <c r="I1284" s="65">
        <v>2.9649480355068225</v>
      </c>
      <c r="J1284" s="162">
        <v>29.423076923076923</v>
      </c>
    </row>
    <row r="1285" spans="1:10" hidden="1">
      <c r="A1285" s="64">
        <v>6202</v>
      </c>
      <c r="B1285" s="52">
        <v>0.97</v>
      </c>
      <c r="C1285" s="160">
        <v>0.82045454545454544</v>
      </c>
      <c r="D1285" s="157">
        <v>226804123.71134022</v>
      </c>
      <c r="E1285" s="26">
        <f>VLOOKUP(6202,季財報!$A:$H,8,0)</f>
        <v>4</v>
      </c>
      <c r="F1285" s="160">
        <v>3.1649999999999998E-2</v>
      </c>
      <c r="G1285" s="54">
        <v>11748453608.247423</v>
      </c>
      <c r="H1285" s="54">
        <v>3967787000</v>
      </c>
      <c r="I1285" s="65">
        <v>2.9714447316299251</v>
      </c>
      <c r="J1285" s="162">
        <v>16.27209641031499</v>
      </c>
    </row>
    <row r="1286" spans="1:10" hidden="1">
      <c r="A1286" s="64">
        <v>5202</v>
      </c>
      <c r="B1286" s="52">
        <v>0.09</v>
      </c>
      <c r="C1286" s="160">
        <v>0</v>
      </c>
      <c r="D1286" s="157">
        <v>55555555.55555556</v>
      </c>
      <c r="E1286" s="26">
        <f>VLOOKUP(5202,季財報!$A:$H,8,0)</f>
        <v>2</v>
      </c>
      <c r="F1286" s="160">
        <v>5.7399999999999986E-2</v>
      </c>
      <c r="G1286" s="54">
        <v>833333333.33333337</v>
      </c>
      <c r="H1286" s="54">
        <v>281207000</v>
      </c>
      <c r="I1286" s="65">
        <v>2.9734188250713918</v>
      </c>
      <c r="J1286" s="162">
        <v>0</v>
      </c>
    </row>
    <row r="1287" spans="1:10" hidden="1">
      <c r="A1287" s="64">
        <v>2228</v>
      </c>
      <c r="B1287" s="150">
        <v>2.7</v>
      </c>
      <c r="C1287" s="159">
        <v>0.75570032573289903</v>
      </c>
      <c r="D1287" s="152">
        <v>71851851.851851851</v>
      </c>
      <c r="E1287" s="26">
        <f>VLOOKUP(2228,季財報!$A:$H,8,0)</f>
        <v>4</v>
      </c>
      <c r="F1287" s="159">
        <v>2.5275000000000002E-2</v>
      </c>
      <c r="G1287" s="152">
        <v>11388518518.518518</v>
      </c>
      <c r="H1287" s="152">
        <v>3886519000</v>
      </c>
      <c r="I1287" s="150">
        <v>2.9781706262708605</v>
      </c>
      <c r="J1287" s="152">
        <v>19.420298531289909</v>
      </c>
    </row>
    <row r="1288" spans="1:10" hidden="1">
      <c r="A1288" s="64">
        <v>3563</v>
      </c>
      <c r="B1288" s="150">
        <v>1.51</v>
      </c>
      <c r="C1288" s="159">
        <v>0.83653846153846156</v>
      </c>
      <c r="D1288" s="152">
        <v>42384105.960264899</v>
      </c>
      <c r="E1288" s="26">
        <f>VLOOKUP(3563,季財報!$A:$H,8,0)</f>
        <v>2</v>
      </c>
      <c r="F1288" s="159">
        <v>1.0416666666666654E-3</v>
      </c>
      <c r="G1288" s="152">
        <v>1830993377.4834437</v>
      </c>
      <c r="H1288" s="152">
        <v>608418000</v>
      </c>
      <c r="I1288" s="150">
        <v>2.9945495688608954</v>
      </c>
      <c r="J1288" s="152">
        <v>8.5498972368120576</v>
      </c>
    </row>
    <row r="1289" spans="1:10" hidden="1">
      <c r="A1289" s="64">
        <v>3556</v>
      </c>
      <c r="B1289" s="150">
        <v>0.88</v>
      </c>
      <c r="C1289" s="159">
        <v>0.88709677419354838</v>
      </c>
      <c r="D1289" s="152">
        <v>54545454.545454547</v>
      </c>
      <c r="E1289" s="26">
        <f>VLOOKUP(3556,季財報!$A:$H,8,0)</f>
        <v>1</v>
      </c>
      <c r="F1289" s="159">
        <v>3.7866666666666667E-2</v>
      </c>
      <c r="G1289" s="152">
        <v>2961818181.8181815</v>
      </c>
      <c r="H1289" s="152">
        <v>982696000</v>
      </c>
      <c r="I1289" s="150">
        <v>3.0329841212389317</v>
      </c>
      <c r="J1289" s="152">
        <v>17.389462809917354</v>
      </c>
    </row>
    <row r="1290" spans="1:10" hidden="1">
      <c r="A1290" s="64">
        <v>8086</v>
      </c>
      <c r="B1290" s="52">
        <v>2.25</v>
      </c>
      <c r="C1290" s="160">
        <v>0.94991364421416236</v>
      </c>
      <c r="D1290" s="157">
        <v>139555555.55555555</v>
      </c>
      <c r="E1290" s="26">
        <f>VLOOKUP(8086,季財報!$A:$H,8,0)</f>
        <v>5</v>
      </c>
      <c r="F1290" s="160">
        <v>1.2241666666666665E-2</v>
      </c>
      <c r="G1290" s="54">
        <v>13257777777.777777</v>
      </c>
      <c r="H1290" s="54">
        <v>4406467000</v>
      </c>
      <c r="I1290" s="65">
        <v>3.0362120450593002</v>
      </c>
      <c r="J1290" s="162">
        <v>11.112121212121211</v>
      </c>
    </row>
    <row r="1291" spans="1:10" hidden="1">
      <c r="A1291" s="64">
        <v>4950</v>
      </c>
      <c r="B1291" s="52">
        <v>1.65</v>
      </c>
      <c r="C1291" s="160">
        <v>0</v>
      </c>
      <c r="D1291" s="157">
        <v>52121212.121212125</v>
      </c>
      <c r="E1291" s="26">
        <f>VLOOKUP(4950,季財報!$A:$H,8,0)</f>
        <v>5</v>
      </c>
      <c r="F1291" s="160">
        <v>0.31020000000000003</v>
      </c>
      <c r="G1291" s="54">
        <v>943393939.3939395</v>
      </c>
      <c r="H1291" s="54">
        <v>334137000</v>
      </c>
      <c r="I1291" s="65">
        <v>3.0383742609138999</v>
      </c>
      <c r="J1291" s="162">
        <v>0</v>
      </c>
    </row>
    <row r="1292" spans="1:10" hidden="1">
      <c r="A1292" s="64">
        <v>4164</v>
      </c>
      <c r="B1292" s="52">
        <v>0.52</v>
      </c>
      <c r="C1292" s="160">
        <v>1</v>
      </c>
      <c r="D1292" s="157">
        <v>130769230.76923077</v>
      </c>
      <c r="E1292" s="26">
        <f>VLOOKUP(4164,季財報!$A:$H,8,0)</f>
        <v>2</v>
      </c>
      <c r="F1292" s="160">
        <v>0.17784999999999995</v>
      </c>
      <c r="G1292" s="54">
        <v>7767692307.6923075</v>
      </c>
      <c r="H1292" s="54">
        <v>2475382000</v>
      </c>
      <c r="I1292" s="65">
        <v>3.0471468575415388</v>
      </c>
      <c r="J1292" s="162">
        <v>28.557692307692307</v>
      </c>
    </row>
    <row r="1293" spans="1:10" hidden="1">
      <c r="A1293" s="64">
        <v>9917</v>
      </c>
      <c r="B1293" s="52">
        <v>1.22</v>
      </c>
      <c r="C1293" s="160">
        <v>0.87939221272554602</v>
      </c>
      <c r="D1293" s="157">
        <v>440983606.55737704</v>
      </c>
      <c r="E1293" s="26">
        <f>VLOOKUP(9917,季財報!$A:$H,8,0)</f>
        <v>2</v>
      </c>
      <c r="F1293" s="160">
        <v>-2.4583333333333319E-3</v>
      </c>
      <c r="G1293" s="54">
        <v>40923278688.52459</v>
      </c>
      <c r="H1293" s="54">
        <v>13316687000</v>
      </c>
      <c r="I1293" s="65">
        <v>3.0623529279925488</v>
      </c>
      <c r="J1293" s="162">
        <v>21.624473320822858</v>
      </c>
    </row>
    <row r="1294" spans="1:10" hidden="1">
      <c r="A1294" s="64">
        <v>3691</v>
      </c>
      <c r="B1294" s="150">
        <v>15.25</v>
      </c>
      <c r="C1294" s="159">
        <v>0.8652694610778443</v>
      </c>
      <c r="D1294" s="152">
        <v>60918032.786885247</v>
      </c>
      <c r="E1294" s="26">
        <f>VLOOKUP(3691,季財報!$A:$H,8,0)</f>
        <v>3</v>
      </c>
      <c r="F1294" s="159">
        <v>4.8083333333333346E-2</v>
      </c>
      <c r="G1294" s="152">
        <v>45383934426.229507</v>
      </c>
      <c r="H1294" s="152">
        <v>15183453000</v>
      </c>
      <c r="I1294" s="150">
        <v>3.1206547241419824</v>
      </c>
      <c r="J1294" s="152">
        <v>14.114810823075613</v>
      </c>
    </row>
    <row r="1295" spans="1:10" hidden="1">
      <c r="A1295" s="64">
        <v>6224</v>
      </c>
      <c r="B1295" s="52">
        <v>1.6</v>
      </c>
      <c r="C1295" s="160">
        <v>0.88505747126436785</v>
      </c>
      <c r="D1295" s="157">
        <v>80000000</v>
      </c>
      <c r="E1295" s="26">
        <f>VLOOKUP(6224,季財報!$A:$H,8,0)</f>
        <v>2</v>
      </c>
      <c r="F1295" s="160">
        <v>1.5783333333333333E-2</v>
      </c>
      <c r="G1295" s="54">
        <v>5200000000</v>
      </c>
      <c r="H1295" s="54">
        <v>1661088000</v>
      </c>
      <c r="I1295" s="65">
        <v>3.1542143943787049</v>
      </c>
      <c r="J1295" s="162">
        <v>11.475243506493506</v>
      </c>
    </row>
    <row r="1296" spans="1:10" hidden="1">
      <c r="A1296" s="64">
        <v>1229</v>
      </c>
      <c r="B1296" s="150">
        <v>0.37</v>
      </c>
      <c r="C1296" s="159">
        <v>0.10268714011516315</v>
      </c>
      <c r="D1296" s="152">
        <v>883783783.78378379</v>
      </c>
      <c r="E1296" s="26">
        <f>VLOOKUP(1229,季財報!$A:$H,8,0)</f>
        <v>1</v>
      </c>
      <c r="F1296" s="159">
        <v>3.5416666666666665E-3</v>
      </c>
      <c r="G1296" s="152">
        <v>16747702702.702702</v>
      </c>
      <c r="H1296" s="152">
        <v>5294247000</v>
      </c>
      <c r="I1296" s="150">
        <v>3.1574221386395926</v>
      </c>
      <c r="J1296" s="152">
        <v>50</v>
      </c>
    </row>
    <row r="1297" spans="1:11" hidden="1">
      <c r="A1297" s="64">
        <v>5272</v>
      </c>
      <c r="B1297" s="52">
        <v>0.14000000000000001</v>
      </c>
      <c r="C1297" s="160">
        <v>0.66666666666666663</v>
      </c>
      <c r="D1297" s="157">
        <v>49999999.999999993</v>
      </c>
      <c r="E1297" s="26">
        <f>VLOOKUP(5272,季財報!$A:$H,8,0)</f>
        <v>1</v>
      </c>
      <c r="F1297" s="160">
        <v>-4.083333333333346E-4</v>
      </c>
      <c r="G1297" s="54">
        <v>1989999999.9999995</v>
      </c>
      <c r="H1297" s="54">
        <v>613334000</v>
      </c>
      <c r="I1297" s="65">
        <v>3.1580985390223537</v>
      </c>
      <c r="J1297" s="162">
        <v>50</v>
      </c>
    </row>
    <row r="1298" spans="1:11" hidden="1">
      <c r="A1298" s="64">
        <v>4129</v>
      </c>
      <c r="B1298" s="52">
        <v>0.7</v>
      </c>
      <c r="C1298" s="160">
        <v>0.92307692307692313</v>
      </c>
      <c r="D1298" s="157">
        <v>57142857.142857149</v>
      </c>
      <c r="E1298" s="26">
        <f>VLOOKUP(4129,季財報!$A:$H,8,0)</f>
        <v>3</v>
      </c>
      <c r="F1298" s="160">
        <v>4.4383333333333351E-2</v>
      </c>
      <c r="G1298" s="54">
        <v>4257142857.1428576</v>
      </c>
      <c r="H1298" s="54">
        <v>1361762000</v>
      </c>
      <c r="I1298" s="65">
        <v>3.1708128591570683</v>
      </c>
      <c r="J1298" s="162">
        <v>28.824404761904759</v>
      </c>
    </row>
    <row r="1299" spans="1:11" hidden="1">
      <c r="A1299" s="64">
        <v>1590</v>
      </c>
      <c r="B1299" s="150">
        <v>1.45</v>
      </c>
      <c r="C1299" s="159">
        <v>1</v>
      </c>
      <c r="D1299" s="152">
        <v>178620689.65517241</v>
      </c>
      <c r="E1299" s="26">
        <f>VLOOKUP(1590,季財報!$A:$H,8,0)</f>
        <v>1</v>
      </c>
      <c r="F1299" s="159">
        <v>5.649166666666669E-2</v>
      </c>
      <c r="G1299" s="152">
        <v>28043448275.862068</v>
      </c>
      <c r="H1299" s="152">
        <v>8729737000</v>
      </c>
      <c r="I1299" s="150">
        <v>3.2278351906867075</v>
      </c>
      <c r="J1299" s="152">
        <v>27.068965517241381</v>
      </c>
    </row>
    <row r="1300" spans="1:11" hidden="1">
      <c r="A1300" s="64">
        <v>5508</v>
      </c>
      <c r="B1300" s="52">
        <v>0.56000000000000005</v>
      </c>
      <c r="C1300" s="160">
        <v>1</v>
      </c>
      <c r="D1300" s="157">
        <v>216071428.57142854</v>
      </c>
      <c r="E1300" s="26">
        <f>VLOOKUP(5508,季財報!$A:$H,8,0)</f>
        <v>1</v>
      </c>
      <c r="F1300" s="160">
        <v>0.246725</v>
      </c>
      <c r="G1300" s="54">
        <v>6244464285.7142849</v>
      </c>
      <c r="H1300" s="54">
        <v>1855574000</v>
      </c>
      <c r="I1300" s="65">
        <v>3.2330096003068567</v>
      </c>
      <c r="J1300" s="162">
        <v>12.901785714285712</v>
      </c>
    </row>
    <row r="1301" spans="1:11" hidden="1">
      <c r="A1301" s="64">
        <v>3310</v>
      </c>
      <c r="B1301" s="150">
        <v>0.24</v>
      </c>
      <c r="C1301" s="159">
        <v>0.5641025641025641</v>
      </c>
      <c r="D1301" s="152">
        <v>112500000</v>
      </c>
      <c r="E1301" s="26">
        <f>VLOOKUP(3310,季財報!$A:$H,8,0)</f>
        <v>2</v>
      </c>
      <c r="F1301" s="159">
        <v>1.7333333333333309E-3</v>
      </c>
      <c r="G1301" s="152">
        <v>1479375000</v>
      </c>
      <c r="H1301" s="152">
        <v>450000000</v>
      </c>
      <c r="I1301" s="150">
        <v>3.2349146649464813</v>
      </c>
      <c r="J1301" s="152">
        <v>24.282670454545457</v>
      </c>
    </row>
    <row r="1302" spans="1:11" hidden="1">
      <c r="A1302" s="64">
        <v>4947</v>
      </c>
      <c r="B1302" s="52">
        <v>4.32</v>
      </c>
      <c r="C1302" s="160">
        <v>0.83333333333333337</v>
      </c>
      <c r="D1302" s="157">
        <v>44444444.44444444</v>
      </c>
      <c r="E1302" s="26">
        <f>VLOOKUP(4947,季財報!$A:$H,8,0)</f>
        <v>4</v>
      </c>
      <c r="F1302" s="160">
        <v>3.0925000000000005E-2</v>
      </c>
      <c r="G1302" s="54">
        <v>9755555555.5555553</v>
      </c>
      <c r="H1302" s="54">
        <v>3074333000</v>
      </c>
      <c r="I1302" s="65">
        <v>3.2412648005915199</v>
      </c>
      <c r="J1302" s="162">
        <v>15.243055555555554</v>
      </c>
    </row>
    <row r="1303" spans="1:11" hidden="1">
      <c r="A1303" s="64">
        <v>1713</v>
      </c>
      <c r="B1303" s="150">
        <v>0.12</v>
      </c>
      <c r="C1303" s="159">
        <v>0.5714285714285714</v>
      </c>
      <c r="D1303" s="152">
        <v>150000000</v>
      </c>
      <c r="E1303" s="26">
        <f>VLOOKUP(1713,季財報!$A:$H,8,0)</f>
        <v>1</v>
      </c>
      <c r="F1303" s="159">
        <v>-4.8083333333333268E-3</v>
      </c>
      <c r="G1303" s="152">
        <v>2295000000</v>
      </c>
      <c r="H1303" s="152">
        <v>684012000</v>
      </c>
      <c r="I1303" s="150">
        <v>3.2477272984569403</v>
      </c>
      <c r="J1303" s="152">
        <v>50</v>
      </c>
    </row>
    <row r="1304" spans="1:11" hidden="1">
      <c r="A1304" s="64">
        <v>4555</v>
      </c>
      <c r="B1304" s="52">
        <v>1.6</v>
      </c>
      <c r="C1304" s="160">
        <v>0.94791666666666663</v>
      </c>
      <c r="D1304" s="157">
        <v>61250000</v>
      </c>
      <c r="E1304" s="26">
        <f>VLOOKUP(4555,季財報!$A:$H,8,0)</f>
        <v>2</v>
      </c>
      <c r="F1304" s="160">
        <v>1.7500000000000061E-3</v>
      </c>
      <c r="G1304" s="54">
        <v>4459000000</v>
      </c>
      <c r="H1304" s="54">
        <v>1348485000</v>
      </c>
      <c r="I1304" s="65">
        <v>3.2583096395252906</v>
      </c>
      <c r="J1304" s="162">
        <v>12</v>
      </c>
    </row>
    <row r="1305" spans="1:11" hidden="1">
      <c r="A1305" s="64">
        <v>1813</v>
      </c>
      <c r="B1305" s="150">
        <v>0.81</v>
      </c>
      <c r="C1305" s="159">
        <v>0.22807017543859648</v>
      </c>
      <c r="D1305" s="152">
        <v>46913580.246913575</v>
      </c>
      <c r="E1305" s="26">
        <f>VLOOKUP(1813,季財報!$A:$H,8,0)</f>
        <v>3</v>
      </c>
      <c r="F1305" s="159">
        <v>3.0866666666666664E-2</v>
      </c>
      <c r="G1305" s="152">
        <v>1276049382.7160492</v>
      </c>
      <c r="H1305" s="152">
        <v>393297000</v>
      </c>
      <c r="I1305" s="150">
        <v>3.2641294313217659</v>
      </c>
      <c r="J1305" s="152">
        <v>36.809116809116809</v>
      </c>
    </row>
    <row r="1306" spans="1:11" hidden="1">
      <c r="A1306" s="64">
        <v>4503</v>
      </c>
      <c r="B1306" s="52">
        <v>0.04</v>
      </c>
      <c r="C1306" s="160">
        <v>1</v>
      </c>
      <c r="D1306" s="157">
        <v>50000000</v>
      </c>
      <c r="E1306" s="26">
        <f>VLOOKUP(4503,季財報!$A:$H,8,0)</f>
        <v>3</v>
      </c>
      <c r="F1306" s="160">
        <v>1.0422750000000001</v>
      </c>
      <c r="G1306" s="54">
        <v>630000000</v>
      </c>
      <c r="H1306" s="54">
        <v>207464000</v>
      </c>
      <c r="I1306" s="65">
        <v>3.2696699190367449</v>
      </c>
      <c r="J1306" s="162">
        <v>50</v>
      </c>
    </row>
    <row r="1307" spans="1:11" hidden="1">
      <c r="A1307" s="64">
        <v>4126</v>
      </c>
      <c r="B1307" s="52">
        <v>1.84</v>
      </c>
      <c r="C1307" s="160">
        <v>0.86390532544378695</v>
      </c>
      <c r="D1307" s="157">
        <v>66304347.826086953</v>
      </c>
      <c r="E1307" s="26">
        <f>VLOOKUP(4126,季財報!$A:$H,8,0)</f>
        <v>4</v>
      </c>
      <c r="F1307" s="160">
        <v>1.9699999999999999E-2</v>
      </c>
      <c r="G1307" s="54">
        <v>5105434782.608695</v>
      </c>
      <c r="H1307" s="54">
        <v>1570950000</v>
      </c>
      <c r="I1307" s="65">
        <v>3.2782750630933588</v>
      </c>
      <c r="J1307" s="162">
        <v>12.110072960095295</v>
      </c>
    </row>
    <row r="1308" spans="1:11" hidden="1">
      <c r="A1308" s="64">
        <v>2107</v>
      </c>
      <c r="B1308" s="150">
        <v>0.51</v>
      </c>
      <c r="C1308" s="159">
        <v>9.7560975609756101E-2</v>
      </c>
      <c r="D1308" s="152">
        <v>500000000</v>
      </c>
      <c r="E1308" s="26">
        <f>VLOOKUP(2107,季財報!$A:$H,8,0)</f>
        <v>2</v>
      </c>
      <c r="F1308" s="159">
        <v>0.35631666666666667</v>
      </c>
      <c r="G1308" s="152">
        <v>8175000000.000001</v>
      </c>
      <c r="H1308" s="152">
        <v>2222057000</v>
      </c>
      <c r="I1308" s="150">
        <v>3.2884918473560529</v>
      </c>
      <c r="J1308" s="152">
        <v>50</v>
      </c>
    </row>
    <row r="1309" spans="1:11" hidden="1">
      <c r="A1309" s="64">
        <v>2412</v>
      </c>
      <c r="B1309" s="150">
        <v>1.52</v>
      </c>
      <c r="C1309" s="159">
        <v>0.97623719206453019</v>
      </c>
      <c r="D1309" s="152">
        <v>7763815789.4736843</v>
      </c>
      <c r="E1309" s="26">
        <f>VLOOKUP(2412,季財報!$A:$H,8,0)</f>
        <v>3</v>
      </c>
      <c r="F1309" s="159">
        <v>6.1749999999999999E-3</v>
      </c>
      <c r="G1309" s="152">
        <v>763959473684.21057</v>
      </c>
      <c r="H1309" s="152">
        <v>231812842000</v>
      </c>
      <c r="I1309" s="150">
        <v>3.3129214040434354</v>
      </c>
      <c r="J1309" s="152">
        <v>16.57815401612562</v>
      </c>
    </row>
    <row r="1310" spans="1:11" hidden="1">
      <c r="A1310" s="64">
        <v>8409</v>
      </c>
      <c r="B1310" s="52">
        <v>-0.39</v>
      </c>
      <c r="C1310" s="160">
        <v>1</v>
      </c>
      <c r="D1310" s="157">
        <v>28205128.205128204</v>
      </c>
      <c r="E1310" s="26">
        <f>VLOOKUP(8409,季財報!$A:$H,8,0)</f>
        <v>2</v>
      </c>
      <c r="F1310" s="160">
        <v>0.37599166666666672</v>
      </c>
      <c r="G1310" s="54">
        <v>906794871.79487169</v>
      </c>
      <c r="H1310" s="54">
        <v>274333000</v>
      </c>
      <c r="I1310" s="65">
        <v>3.3331429488074855</v>
      </c>
      <c r="J1310" s="162">
        <v>0</v>
      </c>
    </row>
    <row r="1311" spans="1:11" hidden="1">
      <c r="A1311" s="64">
        <v>5345</v>
      </c>
      <c r="B1311" s="52">
        <v>0.47</v>
      </c>
      <c r="C1311" s="160">
        <v>0</v>
      </c>
      <c r="D1311" s="157">
        <v>48936170.212765962</v>
      </c>
      <c r="E1311" s="26">
        <f>VLOOKUP(5345,季財報!$A:$H,8,0)</f>
        <v>3</v>
      </c>
      <c r="F1311" s="160">
        <v>-2.1666666666666132E-4</v>
      </c>
      <c r="G1311" s="54">
        <v>486914893.61702126</v>
      </c>
      <c r="H1311" s="54">
        <v>133945000</v>
      </c>
      <c r="I1311" s="65">
        <v>3.3341428907142698</v>
      </c>
      <c r="J1311" s="162">
        <v>0</v>
      </c>
      <c r="K1311" s="32"/>
    </row>
    <row r="1312" spans="1:11" hidden="1">
      <c r="A1312" s="64">
        <v>3131</v>
      </c>
      <c r="B1312" s="150">
        <v>4.92</v>
      </c>
      <c r="C1312" s="159">
        <v>1</v>
      </c>
      <c r="D1312" s="152">
        <v>24593495.934959348</v>
      </c>
      <c r="E1312" s="26">
        <f>VLOOKUP(3131,季財報!$A:$H,8,0)</f>
        <v>1</v>
      </c>
      <c r="F1312" s="159">
        <v>5.8208333333333313E-2</v>
      </c>
      <c r="G1312" s="152">
        <v>6394308943.0894308</v>
      </c>
      <c r="H1312" s="152">
        <v>1942334000</v>
      </c>
      <c r="I1312" s="150">
        <v>3.3424036351140489</v>
      </c>
      <c r="J1312" s="152">
        <v>13.211382113821138</v>
      </c>
    </row>
    <row r="1313" spans="1:10" hidden="1">
      <c r="A1313" s="64">
        <v>5534</v>
      </c>
      <c r="B1313" s="52">
        <v>1.28</v>
      </c>
      <c r="C1313" s="160">
        <v>1</v>
      </c>
      <c r="D1313" s="157">
        <v>273437500</v>
      </c>
      <c r="E1313" s="26">
        <f>VLOOKUP(5534,季財報!$A:$H,8,0)</f>
        <v>2</v>
      </c>
      <c r="F1313" s="160">
        <v>0.72053333333333314</v>
      </c>
      <c r="G1313" s="54">
        <v>12181640625</v>
      </c>
      <c r="H1313" s="54">
        <v>3574923000</v>
      </c>
      <c r="I1313" s="65">
        <v>3.3498633217093881</v>
      </c>
      <c r="J1313" s="162">
        <v>8.701171875</v>
      </c>
    </row>
    <row r="1314" spans="1:10" hidden="1">
      <c r="A1314" s="64">
        <v>9951</v>
      </c>
      <c r="B1314" s="52">
        <v>2.65</v>
      </c>
      <c r="C1314" s="160">
        <v>0.86290322580645162</v>
      </c>
      <c r="D1314" s="157">
        <v>74716981.132075474</v>
      </c>
      <c r="E1314" s="26">
        <f>VLOOKUP(9951,季財報!$A:$H,8,0)</f>
        <v>3</v>
      </c>
      <c r="F1314" s="160">
        <v>1.6891666666666666E-2</v>
      </c>
      <c r="G1314" s="54">
        <v>12141509433.962265</v>
      </c>
      <c r="H1314" s="54">
        <v>3647231000</v>
      </c>
      <c r="I1314" s="65">
        <v>3.3729197753154261</v>
      </c>
      <c r="J1314" s="162">
        <v>17.765826132957152</v>
      </c>
    </row>
    <row r="1315" spans="1:10" hidden="1">
      <c r="A1315" s="64">
        <v>4549</v>
      </c>
      <c r="B1315" s="52">
        <v>0.98</v>
      </c>
      <c r="C1315" s="160">
        <v>0.6</v>
      </c>
      <c r="D1315" s="157">
        <v>37755102.040816329</v>
      </c>
      <c r="E1315" s="26">
        <f>VLOOKUP(4549,季財報!$A:$H,8,0)</f>
        <v>4</v>
      </c>
      <c r="F1315" s="160">
        <v>6.3583333333333339E-3</v>
      </c>
      <c r="G1315" s="54">
        <v>2926020408.1632657</v>
      </c>
      <c r="H1315" s="54">
        <v>839885000</v>
      </c>
      <c r="I1315" s="65">
        <v>3.459249951130178</v>
      </c>
      <c r="J1315" s="162">
        <v>32.950680272108848</v>
      </c>
    </row>
    <row r="1316" spans="1:10" hidden="1">
      <c r="A1316" s="64">
        <v>2466</v>
      </c>
      <c r="B1316" s="150">
        <v>0.09</v>
      </c>
      <c r="C1316" s="159">
        <v>1</v>
      </c>
      <c r="D1316" s="152">
        <v>144444444.44444445</v>
      </c>
      <c r="E1316" s="26">
        <f>VLOOKUP(2466,季財報!$A:$H,8,0)</f>
        <v>3</v>
      </c>
      <c r="F1316" s="159">
        <v>-2.1291666666666671E-2</v>
      </c>
      <c r="G1316" s="152">
        <v>4347777777.7777777</v>
      </c>
      <c r="H1316" s="152">
        <v>1195381000</v>
      </c>
      <c r="I1316" s="150">
        <v>3.4684301502221149</v>
      </c>
      <c r="J1316" s="152">
        <v>50</v>
      </c>
    </row>
    <row r="1317" spans="1:10" hidden="1">
      <c r="A1317" s="64">
        <v>1707</v>
      </c>
      <c r="B1317" s="150">
        <v>2.0099999999999998</v>
      </c>
      <c r="C1317" s="159">
        <v>0.93083003952569165</v>
      </c>
      <c r="D1317" s="152">
        <v>130348258.70646767</v>
      </c>
      <c r="E1317" s="26">
        <f>VLOOKUP(1707,季財報!$A:$H,8,0)</f>
        <v>2</v>
      </c>
      <c r="F1317" s="159">
        <v>2.5891666666666674E-2</v>
      </c>
      <c r="G1317" s="152">
        <v>24505472636.815922</v>
      </c>
      <c r="H1317" s="152">
        <v>7170348000</v>
      </c>
      <c r="I1317" s="150">
        <v>3.4689237055085562</v>
      </c>
      <c r="J1317" s="152">
        <v>25.120681095583656</v>
      </c>
    </row>
    <row r="1318" spans="1:10" hidden="1">
      <c r="A1318" s="64">
        <v>1906</v>
      </c>
      <c r="B1318" s="150">
        <v>-0.04</v>
      </c>
      <c r="C1318" s="159">
        <v>0</v>
      </c>
      <c r="D1318" s="152">
        <v>150000000</v>
      </c>
      <c r="E1318" s="26">
        <f>VLOOKUP(1906,季財報!$A:$H,8,0)</f>
        <v>3</v>
      </c>
      <c r="F1318" s="159">
        <v>6.2499999999999979E-2</v>
      </c>
      <c r="G1318" s="152">
        <v>1174500000</v>
      </c>
      <c r="H1318" s="152">
        <v>329930000</v>
      </c>
      <c r="I1318" s="150">
        <v>3.481144909881472</v>
      </c>
      <c r="J1318" s="152">
        <v>0</v>
      </c>
    </row>
    <row r="1319" spans="1:10" hidden="1">
      <c r="A1319" s="64">
        <v>5398</v>
      </c>
      <c r="B1319" s="52">
        <v>-0.41</v>
      </c>
      <c r="C1319" s="160">
        <v>0.54545454545454541</v>
      </c>
      <c r="D1319" s="157">
        <v>41463414.634146348</v>
      </c>
      <c r="E1319" s="26">
        <f>VLOOKUP(5398,季財報!$A:$H,8,0)</f>
        <v>2</v>
      </c>
      <c r="F1319" s="160">
        <v>1.0508333333333333E-2</v>
      </c>
      <c r="G1319" s="54">
        <v>808536585.36585379</v>
      </c>
      <c r="H1319" s="54">
        <v>226406000</v>
      </c>
      <c r="I1319" s="65">
        <v>3.4844857345784708</v>
      </c>
      <c r="J1319" s="162">
        <v>0</v>
      </c>
    </row>
    <row r="1320" spans="1:10" hidden="1">
      <c r="A1320" s="64">
        <v>2904</v>
      </c>
      <c r="B1320" s="150">
        <v>0.56999999999999995</v>
      </c>
      <c r="C1320" s="159">
        <v>0.72941176470588232</v>
      </c>
      <c r="D1320" s="152">
        <v>70175438.596491233</v>
      </c>
      <c r="E1320" s="26">
        <f>VLOOKUP(2904,季財報!$A:$H,8,0)</f>
        <v>3</v>
      </c>
      <c r="F1320" s="159">
        <v>-4.4416666666666649E-3</v>
      </c>
      <c r="G1320" s="152">
        <v>1800000000</v>
      </c>
      <c r="H1320" s="152">
        <v>512316000</v>
      </c>
      <c r="I1320" s="150">
        <v>3.4924330616996508</v>
      </c>
      <c r="J1320" s="152">
        <v>15.423387096774196</v>
      </c>
    </row>
    <row r="1321" spans="1:10" hidden="1">
      <c r="A1321" s="64">
        <v>4747</v>
      </c>
      <c r="B1321" s="52">
        <v>0.48</v>
      </c>
      <c r="C1321" s="160">
        <v>0.9285714285714286</v>
      </c>
      <c r="D1321" s="157">
        <v>29166666.666666668</v>
      </c>
      <c r="E1321" s="26">
        <f>VLOOKUP(4747,季財報!$A:$H,8,0)</f>
        <v>2</v>
      </c>
      <c r="F1321" s="160">
        <v>3.4141666666666667E-2</v>
      </c>
      <c r="G1321" s="54">
        <v>1286250000</v>
      </c>
      <c r="H1321" s="54">
        <v>374362000</v>
      </c>
      <c r="I1321" s="65">
        <v>3.5125783758984555</v>
      </c>
      <c r="J1321" s="162">
        <v>24.735576923076923</v>
      </c>
    </row>
    <row r="1322" spans="1:10" hidden="1">
      <c r="A1322" s="64">
        <v>3257</v>
      </c>
      <c r="B1322" s="150">
        <v>0.89</v>
      </c>
      <c r="C1322" s="159">
        <v>0.63291139240506333</v>
      </c>
      <c r="D1322" s="152">
        <v>59550561.797752805</v>
      </c>
      <c r="E1322" s="26">
        <f>VLOOKUP(3257,季財報!$A:$H,8,0)</f>
        <v>2</v>
      </c>
      <c r="F1322" s="159">
        <v>1.5241666666666672E-2</v>
      </c>
      <c r="G1322" s="152">
        <v>2917977528.0898876</v>
      </c>
      <c r="H1322" s="152">
        <v>834263000</v>
      </c>
      <c r="I1322" s="150">
        <v>3.5282522660427742</v>
      </c>
      <c r="J1322" s="152">
        <v>21.747191011235955</v>
      </c>
    </row>
    <row r="1323" spans="1:10" hidden="1">
      <c r="A1323" s="64">
        <v>5203</v>
      </c>
      <c r="B1323" s="52">
        <v>1.66</v>
      </c>
      <c r="C1323" s="160">
        <v>0.67123287671232879</v>
      </c>
      <c r="D1323" s="157">
        <v>100000000</v>
      </c>
      <c r="E1323" s="26">
        <f>VLOOKUP(5203,季財報!$A:$H,8,0)</f>
        <v>3</v>
      </c>
      <c r="F1323" s="160">
        <v>8.9874999999999997E-2</v>
      </c>
      <c r="G1323" s="54">
        <v>6950000000</v>
      </c>
      <c r="H1323" s="54">
        <v>1981799000</v>
      </c>
      <c r="I1323" s="65">
        <v>3.544050508074061</v>
      </c>
      <c r="J1323" s="162">
        <v>15.593496434718466</v>
      </c>
    </row>
    <row r="1324" spans="1:10" hidden="1">
      <c r="A1324" s="64">
        <v>8114</v>
      </c>
      <c r="B1324" s="52">
        <v>3.01</v>
      </c>
      <c r="C1324" s="160">
        <v>0.89196675900277012</v>
      </c>
      <c r="D1324" s="157">
        <v>67774086.378737539</v>
      </c>
      <c r="E1324" s="26">
        <f>VLOOKUP(8114,季財報!$A:$H,8,0)</f>
        <v>4</v>
      </c>
      <c r="F1324" s="160">
        <v>2.8083333333333332E-2</v>
      </c>
      <c r="G1324" s="54">
        <v>10504983388.704319</v>
      </c>
      <c r="H1324" s="54">
        <v>2968898000</v>
      </c>
      <c r="I1324" s="65">
        <v>3.5735636118135359</v>
      </c>
      <c r="J1324" s="162">
        <v>14.43299766822806</v>
      </c>
    </row>
    <row r="1325" spans="1:10" hidden="1">
      <c r="A1325" s="64">
        <v>1795</v>
      </c>
      <c r="B1325" s="150">
        <v>0.06</v>
      </c>
      <c r="C1325" s="159">
        <v>1</v>
      </c>
      <c r="D1325" s="152">
        <v>250000000</v>
      </c>
      <c r="E1325" s="26">
        <f>VLOOKUP(1795,季財報!$A:$H,8,0)</f>
        <v>4</v>
      </c>
      <c r="F1325" s="159">
        <v>9.6008333333333348E-2</v>
      </c>
      <c r="G1325" s="152">
        <v>17900000000</v>
      </c>
      <c r="H1325" s="152">
        <v>5293483000</v>
      </c>
      <c r="I1325" s="150">
        <v>3.5930376965858315</v>
      </c>
      <c r="J1325" s="152">
        <v>50</v>
      </c>
    </row>
    <row r="1326" spans="1:10" hidden="1">
      <c r="A1326" s="64">
        <v>4119</v>
      </c>
      <c r="B1326" s="52">
        <v>1.34</v>
      </c>
      <c r="C1326" s="160">
        <v>0.9363636363636364</v>
      </c>
      <c r="D1326" s="157">
        <v>70895522.388059691</v>
      </c>
      <c r="E1326" s="26">
        <f>VLOOKUP(4119,季財報!$A:$H,8,0)</f>
        <v>2</v>
      </c>
      <c r="F1326" s="160">
        <v>8.5599999999999996E-2</v>
      </c>
      <c r="G1326" s="54">
        <v>6664179104.4776106</v>
      </c>
      <c r="H1326" s="54">
        <v>1865462000</v>
      </c>
      <c r="I1326" s="65">
        <v>3.5954800378948288</v>
      </c>
      <c r="J1326" s="162">
        <v>18.729169685552815</v>
      </c>
    </row>
    <row r="1327" spans="1:10" hidden="1">
      <c r="A1327" s="64">
        <v>2395</v>
      </c>
      <c r="B1327" s="150">
        <v>1.94</v>
      </c>
      <c r="C1327" s="159">
        <v>0.92723004694835676</v>
      </c>
      <c r="D1327" s="152">
        <v>632989690.72164953</v>
      </c>
      <c r="E1327" s="26">
        <f>VLOOKUP(2395,季財報!$A:$H,8,0)</f>
        <v>1</v>
      </c>
      <c r="F1327" s="159">
        <v>2.0375000000000001E-2</v>
      </c>
      <c r="G1327" s="152">
        <v>136092783505.15465</v>
      </c>
      <c r="H1327" s="152">
        <v>37902934000</v>
      </c>
      <c r="I1327" s="150">
        <v>3.6162906217239321</v>
      </c>
      <c r="J1327" s="152">
        <v>29.880595067206059</v>
      </c>
    </row>
    <row r="1328" spans="1:10" hidden="1">
      <c r="A1328" s="64">
        <v>4102</v>
      </c>
      <c r="B1328" s="52">
        <v>0.13</v>
      </c>
      <c r="C1328" s="160">
        <v>1</v>
      </c>
      <c r="D1328" s="157">
        <v>46153846.153846152</v>
      </c>
      <c r="E1328" s="26">
        <f>VLOOKUP(4102,季財報!$A:$H,8,0)</f>
        <v>3</v>
      </c>
      <c r="F1328" s="160">
        <v>5.2641666666666663E-2</v>
      </c>
      <c r="G1328" s="54">
        <v>1135384615.3846154</v>
      </c>
      <c r="H1328" s="54">
        <v>313475000</v>
      </c>
      <c r="I1328" s="65">
        <v>3.6204982011569404</v>
      </c>
      <c r="J1328" s="162">
        <v>47.307692307692307</v>
      </c>
    </row>
    <row r="1329" spans="1:10" hidden="1">
      <c r="A1329" s="64">
        <v>5512</v>
      </c>
      <c r="B1329" s="52">
        <v>-0.06</v>
      </c>
      <c r="C1329" s="160">
        <v>0.60447761194029848</v>
      </c>
      <c r="D1329" s="157">
        <v>750000000</v>
      </c>
      <c r="E1329" s="26">
        <f>VLOOKUP(5512,季財報!$A:$H,8,0)</f>
        <v>0</v>
      </c>
      <c r="F1329" s="160">
        <v>1.8458333333333316E-2</v>
      </c>
      <c r="G1329" s="54">
        <v>6810000000</v>
      </c>
      <c r="H1329" s="54">
        <v>1685447000</v>
      </c>
      <c r="I1329" s="65">
        <v>3.6211327392406893</v>
      </c>
      <c r="J1329" s="162">
        <v>0</v>
      </c>
    </row>
    <row r="1330" spans="1:10" hidden="1">
      <c r="A1330" s="64">
        <v>5245</v>
      </c>
      <c r="B1330" s="52">
        <v>1.43</v>
      </c>
      <c r="C1330" s="160">
        <v>1</v>
      </c>
      <c r="D1330" s="157">
        <v>38461538.461538464</v>
      </c>
      <c r="E1330" s="26">
        <f>VLOOKUP(5245,季財報!$A:$H,8,0)</f>
        <v>6</v>
      </c>
      <c r="F1330" s="160">
        <v>5.8133333333333335E-2</v>
      </c>
      <c r="G1330" s="54">
        <v>4230769230.7692308</v>
      </c>
      <c r="H1330" s="54">
        <v>1219896000</v>
      </c>
      <c r="I1330" s="65">
        <v>3.6479098438316533</v>
      </c>
      <c r="J1330" s="162">
        <v>19.23076923076923</v>
      </c>
    </row>
    <row r="1331" spans="1:10" hidden="1">
      <c r="A1331" s="64">
        <v>8083</v>
      </c>
      <c r="B1331" s="52">
        <v>2.4500000000000002</v>
      </c>
      <c r="C1331" s="160">
        <v>0.86250000000000004</v>
      </c>
      <c r="D1331" s="157">
        <v>35102040.816326529</v>
      </c>
      <c r="E1331" s="26">
        <f>VLOOKUP(8083,季財報!$A:$H,8,0)</f>
        <v>3</v>
      </c>
      <c r="F1331" s="160">
        <v>7.3000000000000018E-3</v>
      </c>
      <c r="G1331" s="54">
        <v>4668571428.5714283</v>
      </c>
      <c r="H1331" s="54">
        <v>1265269000</v>
      </c>
      <c r="I1331" s="65">
        <v>3.6673572325772192</v>
      </c>
      <c r="J1331" s="162">
        <v>15.734989648033125</v>
      </c>
    </row>
    <row r="1332" spans="1:10" hidden="1">
      <c r="A1332" s="64">
        <v>3089</v>
      </c>
      <c r="B1332" s="150">
        <v>-0.98</v>
      </c>
      <c r="C1332" s="159">
        <v>0.77333333333333332</v>
      </c>
      <c r="D1332" s="152">
        <v>70408163.26530613</v>
      </c>
      <c r="E1332" s="26">
        <f>VLOOKUP(3089,季財報!$A:$H,8,0)</f>
        <v>1</v>
      </c>
      <c r="F1332" s="159">
        <v>4.6858333333333328E-2</v>
      </c>
      <c r="G1332" s="152">
        <v>1295510204.0816326</v>
      </c>
      <c r="H1332" s="152">
        <v>326673000</v>
      </c>
      <c r="I1332" s="150">
        <v>3.7158859803684381</v>
      </c>
      <c r="J1332" s="152">
        <v>0</v>
      </c>
    </row>
    <row r="1333" spans="1:10" hidden="1">
      <c r="A1333" s="64">
        <v>5344</v>
      </c>
      <c r="B1333" s="52">
        <v>-0.25</v>
      </c>
      <c r="C1333" s="160">
        <v>1</v>
      </c>
      <c r="D1333" s="157">
        <v>80000000</v>
      </c>
      <c r="E1333" s="26">
        <f>VLOOKUP(5344,季財報!$A:$H,8,0)</f>
        <v>4</v>
      </c>
      <c r="F1333" s="160">
        <v>3.0166666666666665E-2</v>
      </c>
      <c r="G1333" s="54">
        <v>474400000</v>
      </c>
      <c r="H1333" s="54">
        <v>129396000</v>
      </c>
      <c r="I1333" s="65">
        <v>3.7201132344753494</v>
      </c>
      <c r="J1333" s="162">
        <v>0</v>
      </c>
    </row>
    <row r="1334" spans="1:10" hidden="1">
      <c r="A1334" s="64">
        <v>6136</v>
      </c>
      <c r="B1334" s="52">
        <v>1.1200000000000001</v>
      </c>
      <c r="C1334" s="160">
        <v>0</v>
      </c>
      <c r="D1334" s="157">
        <v>116071428.57142857</v>
      </c>
      <c r="E1334" s="26">
        <f>VLOOKUP(6136,季財報!$A:$H,8,0)</f>
        <v>4</v>
      </c>
      <c r="F1334" s="160">
        <v>3.2766666666666666E-2</v>
      </c>
      <c r="G1334" s="54">
        <v>2785714285.7142859</v>
      </c>
      <c r="H1334" s="54">
        <v>761878000</v>
      </c>
      <c r="I1334" s="65">
        <v>3.7318802858735127</v>
      </c>
      <c r="J1334" s="162">
        <v>0</v>
      </c>
    </row>
    <row r="1335" spans="1:10" hidden="1">
      <c r="A1335" s="64">
        <v>1805</v>
      </c>
      <c r="B1335" s="150">
        <v>-0.25</v>
      </c>
      <c r="C1335" s="159">
        <v>1</v>
      </c>
      <c r="D1335" s="152">
        <v>80000000</v>
      </c>
      <c r="E1335" s="26">
        <f>VLOOKUP(1805,季財報!$A:$H,8,0)</f>
        <v>1</v>
      </c>
      <c r="F1335" s="159">
        <v>8.2958333333333342E-2</v>
      </c>
      <c r="G1335" s="152">
        <v>560000000</v>
      </c>
      <c r="H1335" s="152">
        <v>138955000</v>
      </c>
      <c r="I1335" s="150">
        <v>3.7327360955580442</v>
      </c>
      <c r="J1335" s="152">
        <v>0</v>
      </c>
    </row>
    <row r="1336" spans="1:10" hidden="1">
      <c r="A1336" s="64">
        <v>5531</v>
      </c>
      <c r="B1336" s="52">
        <v>0.08</v>
      </c>
      <c r="C1336" s="160">
        <v>1</v>
      </c>
      <c r="D1336" s="157">
        <v>912500000</v>
      </c>
      <c r="E1336" s="26">
        <f>VLOOKUP(5531,季財報!$A:$H,8,0)</f>
        <v>1</v>
      </c>
      <c r="F1336" s="160">
        <v>0.64990833333333331</v>
      </c>
      <c r="G1336" s="54">
        <v>9581250000</v>
      </c>
      <c r="H1336" s="54">
        <v>3578578000</v>
      </c>
      <c r="I1336" s="65">
        <v>3.7870807827562478</v>
      </c>
      <c r="J1336" s="162">
        <v>32.8125</v>
      </c>
    </row>
    <row r="1337" spans="1:10" hidden="1">
      <c r="A1337" s="64">
        <v>4113</v>
      </c>
      <c r="B1337" s="52">
        <v>0.49</v>
      </c>
      <c r="C1337" s="160">
        <v>0.24647887323943662</v>
      </c>
      <c r="D1337" s="157">
        <v>240816326.53061226</v>
      </c>
      <c r="E1337" s="26">
        <f>VLOOKUP(4113,季財報!$A:$H,8,0)</f>
        <v>2</v>
      </c>
      <c r="F1337" s="160">
        <v>4.8303833333333328</v>
      </c>
      <c r="G1337" s="54">
        <v>2362408163.2653065</v>
      </c>
      <c r="H1337" s="54">
        <v>589046000</v>
      </c>
      <c r="I1337" s="65">
        <v>3.8189406829021304</v>
      </c>
      <c r="J1337" s="162">
        <v>20.306413994169095</v>
      </c>
    </row>
    <row r="1338" spans="1:10" hidden="1">
      <c r="A1338" s="64">
        <v>4123</v>
      </c>
      <c r="B1338" s="52">
        <v>-0.04</v>
      </c>
      <c r="C1338" s="160">
        <v>0.35087719298245612</v>
      </c>
      <c r="D1338" s="157">
        <v>200000000</v>
      </c>
      <c r="E1338" s="26">
        <f>VLOOKUP(4123,季財報!$A:$H,8,0)</f>
        <v>3</v>
      </c>
      <c r="F1338" s="160">
        <v>0.90630833333333316</v>
      </c>
      <c r="G1338" s="54">
        <v>15000000000</v>
      </c>
      <c r="H1338" s="54">
        <v>5025264000</v>
      </c>
      <c r="I1338" s="65">
        <v>3.8665474051600364</v>
      </c>
      <c r="J1338" s="162">
        <v>0</v>
      </c>
    </row>
    <row r="1339" spans="1:10" hidden="1">
      <c r="A1339" s="64">
        <v>5302</v>
      </c>
      <c r="B1339" s="52">
        <v>-0.02</v>
      </c>
      <c r="C1339" s="160">
        <v>1</v>
      </c>
      <c r="D1339" s="157">
        <v>150000000</v>
      </c>
      <c r="E1339" s="26">
        <f>VLOOKUP(5302,季財報!$A:$H,8,0)</f>
        <v>2</v>
      </c>
      <c r="F1339" s="160">
        <v>0.37594166666666662</v>
      </c>
      <c r="G1339" s="54">
        <v>837000000</v>
      </c>
      <c r="H1339" s="54">
        <v>218911000</v>
      </c>
      <c r="I1339" s="65">
        <v>3.9186127081031481</v>
      </c>
      <c r="J1339" s="162">
        <v>0</v>
      </c>
    </row>
    <row r="1340" spans="1:10" hidden="1">
      <c r="A1340" s="64">
        <v>3293</v>
      </c>
      <c r="B1340" s="150">
        <v>1.36</v>
      </c>
      <c r="C1340" s="159">
        <v>0.90697674418604646</v>
      </c>
      <c r="D1340" s="152">
        <v>69852941.176470578</v>
      </c>
      <c r="E1340" s="26">
        <f>VLOOKUP(3293,季財報!$A:$H,8,0)</f>
        <v>5</v>
      </c>
      <c r="F1340" s="159">
        <v>3.4533333333333339E-2</v>
      </c>
      <c r="G1340" s="152">
        <v>6985294117.6470575</v>
      </c>
      <c r="H1340" s="152">
        <v>1817334000</v>
      </c>
      <c r="I1340" s="150">
        <v>3.9339120010221871</v>
      </c>
      <c r="J1340" s="152">
        <v>20.267722473604827</v>
      </c>
    </row>
    <row r="1341" spans="1:10" hidden="1">
      <c r="A1341" s="64">
        <v>3226</v>
      </c>
      <c r="B1341" s="150">
        <v>1.1100000000000001</v>
      </c>
      <c r="C1341" s="159">
        <v>0.68181818181818177</v>
      </c>
      <c r="D1341" s="152">
        <v>64864864.864864856</v>
      </c>
      <c r="E1341" s="26">
        <f>VLOOKUP(3226,季財報!$A:$H,8,0)</f>
        <v>3</v>
      </c>
      <c r="F1341" s="159">
        <v>5.1358333333333332E-2</v>
      </c>
      <c r="G1341" s="152">
        <v>4047567567.5675669</v>
      </c>
      <c r="H1341" s="152">
        <v>1046556000</v>
      </c>
      <c r="I1341" s="150">
        <v>3.9391311648612661</v>
      </c>
      <c r="J1341" s="152">
        <v>20.612612612612612</v>
      </c>
    </row>
    <row r="1342" spans="1:10" hidden="1">
      <c r="A1342" s="64">
        <v>8109</v>
      </c>
      <c r="B1342" s="52">
        <v>2.65</v>
      </c>
      <c r="C1342" s="160">
        <v>0.5321100917431193</v>
      </c>
      <c r="D1342" s="157">
        <v>59622641.509433962</v>
      </c>
      <c r="E1342" s="26">
        <f>VLOOKUP(8109,季財報!$A:$H,8,0)</f>
        <v>5</v>
      </c>
      <c r="F1342" s="160">
        <v>2.5874999999999999E-2</v>
      </c>
      <c r="G1342" s="54">
        <v>3601207547.1698112</v>
      </c>
      <c r="H1342" s="54">
        <v>929583000</v>
      </c>
      <c r="I1342" s="65">
        <v>3.9630978250656841</v>
      </c>
      <c r="J1342" s="162">
        <v>10.708523096942095</v>
      </c>
    </row>
    <row r="1343" spans="1:10" hidden="1">
      <c r="A1343" s="64">
        <v>6131</v>
      </c>
      <c r="B1343" s="52">
        <v>-0.27</v>
      </c>
      <c r="C1343" s="160">
        <v>0.98529411764705888</v>
      </c>
      <c r="D1343" s="157">
        <v>103703703.7037037</v>
      </c>
      <c r="E1343" s="26">
        <f>VLOOKUP(6131,季財報!$A:$H,8,0)</f>
        <v>3</v>
      </c>
      <c r="F1343" s="160">
        <v>9.8549999999999985E-2</v>
      </c>
      <c r="G1343" s="54">
        <v>1037037037.037037</v>
      </c>
      <c r="H1343" s="54">
        <v>255454000</v>
      </c>
      <c r="I1343" s="65">
        <v>3.9832419321568544</v>
      </c>
      <c r="J1343" s="162">
        <v>0</v>
      </c>
    </row>
    <row r="1344" spans="1:10" hidden="1">
      <c r="A1344" s="64">
        <v>8436</v>
      </c>
      <c r="B1344" s="52">
        <v>1.1299999999999999</v>
      </c>
      <c r="C1344" s="160">
        <v>0.76865671641791045</v>
      </c>
      <c r="D1344" s="157">
        <v>61061946.902654871</v>
      </c>
      <c r="E1344" s="26">
        <f>VLOOKUP(8436,季財報!$A:$H,8,0)</f>
        <v>4</v>
      </c>
      <c r="F1344" s="160">
        <v>6.2208333333333338E-2</v>
      </c>
      <c r="G1344" s="54">
        <v>7754867256.6371689</v>
      </c>
      <c r="H1344" s="54">
        <v>2036603000</v>
      </c>
      <c r="I1344" s="65">
        <v>3.9844684030291568</v>
      </c>
      <c r="J1344" s="162">
        <v>36.553827648423407</v>
      </c>
    </row>
    <row r="1345" spans="1:10" hidden="1">
      <c r="A1345" s="64">
        <v>1777</v>
      </c>
      <c r="B1345" s="150">
        <v>1.74</v>
      </c>
      <c r="C1345" s="159">
        <v>0.78666666666666663</v>
      </c>
      <c r="D1345" s="152">
        <v>29885057.47126437</v>
      </c>
      <c r="E1345" s="26">
        <f>VLOOKUP(1777,季財報!$A:$H,8,0)</f>
        <v>5</v>
      </c>
      <c r="F1345" s="159">
        <v>3.4108333333333331E-2</v>
      </c>
      <c r="G1345" s="152">
        <v>2620919540.2298851</v>
      </c>
      <c r="H1345" s="152">
        <v>673679000</v>
      </c>
      <c r="I1345" s="150">
        <v>4.0006953581196081</v>
      </c>
      <c r="J1345" s="152">
        <v>16.017679719462304</v>
      </c>
    </row>
    <row r="1346" spans="1:10" hidden="1">
      <c r="A1346" s="64">
        <v>6279</v>
      </c>
      <c r="B1346" s="52">
        <v>2.0299999999999998</v>
      </c>
      <c r="C1346" s="160">
        <v>0.83783783783783783</v>
      </c>
      <c r="D1346" s="157">
        <v>97044334.975369468</v>
      </c>
      <c r="E1346" s="26">
        <f>VLOOKUP(6279,季財報!$A:$H,8,0)</f>
        <v>1</v>
      </c>
      <c r="F1346" s="160">
        <v>2.0483333333333326E-2</v>
      </c>
      <c r="G1346" s="54">
        <v>13537684729.064041</v>
      </c>
      <c r="H1346" s="54">
        <v>3366161000</v>
      </c>
      <c r="I1346" s="65">
        <v>4.0420048455815607</v>
      </c>
      <c r="J1346" s="162">
        <v>20.504926108374388</v>
      </c>
    </row>
    <row r="1347" spans="1:10" hidden="1">
      <c r="A1347" s="64">
        <v>8431</v>
      </c>
      <c r="B1347" s="52">
        <v>-0.99</v>
      </c>
      <c r="C1347" s="160">
        <v>1</v>
      </c>
      <c r="D1347" s="157">
        <v>41414141.414141417</v>
      </c>
      <c r="E1347" s="26">
        <f>VLOOKUP(8431,季財報!$A:$H,8,0)</f>
        <v>1</v>
      </c>
      <c r="F1347" s="160">
        <v>-2.2941666666666666E-2</v>
      </c>
      <c r="G1347" s="54">
        <v>3603030303.030303</v>
      </c>
      <c r="H1347" s="54">
        <v>856102000</v>
      </c>
      <c r="I1347" s="65">
        <v>4.0745632044256679</v>
      </c>
      <c r="J1347" s="162">
        <v>0</v>
      </c>
    </row>
    <row r="1348" spans="1:10" hidden="1">
      <c r="A1348" s="64">
        <v>1723</v>
      </c>
      <c r="B1348" s="150">
        <v>1.3</v>
      </c>
      <c r="C1348" s="159">
        <v>0.81192660550458717</v>
      </c>
      <c r="D1348" s="152">
        <v>231538461.53846154</v>
      </c>
      <c r="E1348" s="26">
        <f>VLOOKUP(1723,季財報!$A:$H,8,0)</f>
        <v>1</v>
      </c>
      <c r="F1348" s="159">
        <v>-3.7158333333333335E-2</v>
      </c>
      <c r="G1348" s="152">
        <v>25237692307.692307</v>
      </c>
      <c r="H1348" s="152">
        <v>5897203000</v>
      </c>
      <c r="I1348" s="150">
        <v>4.1121246765018498</v>
      </c>
      <c r="J1348" s="152">
        <v>25.817036071273357</v>
      </c>
    </row>
    <row r="1349" spans="1:10" hidden="1">
      <c r="A1349" s="64">
        <v>6169</v>
      </c>
      <c r="B1349" s="52">
        <v>-1.08</v>
      </c>
      <c r="C1349" s="160">
        <v>0.95833333333333337</v>
      </c>
      <c r="D1349" s="157">
        <v>27777777.777777776</v>
      </c>
      <c r="E1349" s="26">
        <f>VLOOKUP(6169,季財報!$A:$H,8,0)</f>
        <v>4</v>
      </c>
      <c r="F1349" s="160">
        <v>7.4733333333333318E-2</v>
      </c>
      <c r="G1349" s="54">
        <v>744444444.44444442</v>
      </c>
      <c r="H1349" s="54">
        <v>181848000</v>
      </c>
      <c r="I1349" s="65">
        <v>4.1121802779833869</v>
      </c>
      <c r="J1349" s="162">
        <v>0</v>
      </c>
    </row>
    <row r="1350" spans="1:10" hidden="1">
      <c r="A1350" s="64">
        <v>3552</v>
      </c>
      <c r="B1350" s="150">
        <v>2.65</v>
      </c>
      <c r="C1350" s="159">
        <v>0.92346938775510201</v>
      </c>
      <c r="D1350" s="152">
        <v>84150943.396226421</v>
      </c>
      <c r="E1350" s="26">
        <f>VLOOKUP(3552,季財報!$A:$H,8,0)</f>
        <v>3</v>
      </c>
      <c r="F1350" s="159">
        <v>5.9091666666666674E-2</v>
      </c>
      <c r="G1350" s="152">
        <v>26213018867.92453</v>
      </c>
      <c r="H1350" s="152">
        <v>6695589000</v>
      </c>
      <c r="I1350" s="150">
        <v>4.1170377622737959</v>
      </c>
      <c r="J1350" s="152">
        <v>31.822161993119984</v>
      </c>
    </row>
    <row r="1351" spans="1:10" hidden="1">
      <c r="A1351" s="64">
        <v>6222</v>
      </c>
      <c r="B1351" s="52">
        <v>-0.62</v>
      </c>
      <c r="C1351" s="160">
        <v>0.95833333333333337</v>
      </c>
      <c r="D1351" s="157">
        <v>56451612.903225809</v>
      </c>
      <c r="E1351" s="26">
        <f>VLOOKUP(6222,季財報!$A:$H,8,0)</f>
        <v>0</v>
      </c>
      <c r="F1351" s="160">
        <v>0.53999999999999992</v>
      </c>
      <c r="G1351" s="54">
        <v>402500000</v>
      </c>
      <c r="H1351" s="54">
        <v>97231000</v>
      </c>
      <c r="I1351" s="65">
        <v>4.1173522100719131</v>
      </c>
      <c r="J1351" s="162">
        <v>0</v>
      </c>
    </row>
    <row r="1352" spans="1:10" hidden="1">
      <c r="A1352" s="64">
        <v>1799</v>
      </c>
      <c r="B1352" s="150">
        <v>-0.37</v>
      </c>
      <c r="C1352" s="159">
        <v>1</v>
      </c>
      <c r="D1352" s="152">
        <v>64864864.864864863</v>
      </c>
      <c r="E1352" s="26">
        <f>VLOOKUP(1799,季財報!$A:$H,8,0)</f>
        <v>3</v>
      </c>
      <c r="F1352" s="159">
        <v>0.16470833333333332</v>
      </c>
      <c r="G1352" s="152">
        <v>2198918918.9189186</v>
      </c>
      <c r="H1352" s="152">
        <v>502490000</v>
      </c>
      <c r="I1352" s="150">
        <v>4.188353165892555</v>
      </c>
      <c r="J1352" s="152">
        <v>0</v>
      </c>
    </row>
    <row r="1353" spans="1:10" hidden="1">
      <c r="A1353" s="64">
        <v>2707</v>
      </c>
      <c r="B1353" s="150">
        <v>1.68</v>
      </c>
      <c r="C1353" s="159">
        <v>1</v>
      </c>
      <c r="D1353" s="152">
        <v>126785714.28571428</v>
      </c>
      <c r="E1353" s="26">
        <f>VLOOKUP(2707,季財報!$A:$H,8,0)</f>
        <v>1</v>
      </c>
      <c r="F1353" s="159">
        <v>3.1333333333333365E-3</v>
      </c>
      <c r="G1353" s="152">
        <v>28336607142.857143</v>
      </c>
      <c r="H1353" s="152">
        <v>6676934000</v>
      </c>
      <c r="I1353" s="150">
        <v>4.246477301083587</v>
      </c>
      <c r="J1353" s="152">
        <v>33.258928571428569</v>
      </c>
    </row>
    <row r="1354" spans="1:10" hidden="1">
      <c r="A1354" s="64">
        <v>3259</v>
      </c>
      <c r="B1354" s="150">
        <v>-0.65</v>
      </c>
      <c r="C1354" s="159">
        <v>1</v>
      </c>
      <c r="D1354" s="152">
        <v>80000000</v>
      </c>
      <c r="E1354" s="26">
        <f>VLOOKUP(3259,季財報!$A:$H,8,0)</f>
        <v>1</v>
      </c>
      <c r="F1354" s="159">
        <v>-2.2416666666666661E-3</v>
      </c>
      <c r="G1354" s="152">
        <v>2164000000</v>
      </c>
      <c r="H1354" s="152">
        <v>486613000</v>
      </c>
      <c r="I1354" s="150">
        <v>4.2516655958913665</v>
      </c>
      <c r="J1354" s="152">
        <v>0</v>
      </c>
    </row>
    <row r="1355" spans="1:10" hidden="1">
      <c r="A1355" s="64">
        <v>3629</v>
      </c>
      <c r="B1355" s="150">
        <v>-1.38</v>
      </c>
      <c r="C1355" s="159">
        <v>0.9375</v>
      </c>
      <c r="D1355" s="152">
        <v>14492753.623188406</v>
      </c>
      <c r="E1355" s="26">
        <f>VLOOKUP(3629,季財報!$A:$H,8,0)</f>
        <v>2</v>
      </c>
      <c r="F1355" s="159">
        <v>0.32190000000000002</v>
      </c>
      <c r="G1355" s="152">
        <v>447826086.95652175</v>
      </c>
      <c r="H1355" s="152">
        <v>109798000</v>
      </c>
      <c r="I1355" s="150">
        <v>4.268913358466043</v>
      </c>
      <c r="J1355" s="152">
        <v>0</v>
      </c>
    </row>
    <row r="1356" spans="1:10" hidden="1">
      <c r="A1356" s="64">
        <v>6184</v>
      </c>
      <c r="B1356" s="52">
        <v>0.47</v>
      </c>
      <c r="C1356" s="160">
        <v>0.7072072072072072</v>
      </c>
      <c r="D1356" s="157">
        <v>131914893.61702128</v>
      </c>
      <c r="E1356" s="26">
        <f>VLOOKUP(6184,季財報!$A:$H,8,0)</f>
        <v>1</v>
      </c>
      <c r="F1356" s="160">
        <v>7.5325000000000003E-2</v>
      </c>
      <c r="G1356" s="54">
        <v>6859574468.0851068</v>
      </c>
      <c r="H1356" s="54">
        <v>1663254000</v>
      </c>
      <c r="I1356" s="65">
        <v>4.308236696448378</v>
      </c>
      <c r="J1356" s="162">
        <v>39.110990649139453</v>
      </c>
    </row>
    <row r="1357" spans="1:10" hidden="1">
      <c r="A1357" s="64">
        <v>2330</v>
      </c>
      <c r="B1357" s="150">
        <v>2.91</v>
      </c>
      <c r="C1357" s="159">
        <v>0.83154439181373463</v>
      </c>
      <c r="D1357" s="152">
        <v>25886254295.532646</v>
      </c>
      <c r="E1357" s="26">
        <f>VLOOKUP(2330,季財報!$A:$H,8,0)</f>
        <v>2</v>
      </c>
      <c r="F1357" s="159">
        <v>8.3083333333333377E-3</v>
      </c>
      <c r="G1357" s="152">
        <v>3753506872852.2339</v>
      </c>
      <c r="H1357" s="152">
        <v>854660553000</v>
      </c>
      <c r="I1357" s="150">
        <v>4.3468173528459957</v>
      </c>
      <c r="J1357" s="152">
        <v>14.980612936813465</v>
      </c>
    </row>
    <row r="1358" spans="1:10" hidden="1">
      <c r="A1358" s="64">
        <v>5227</v>
      </c>
      <c r="B1358" s="52">
        <v>-0.45</v>
      </c>
      <c r="C1358" s="160">
        <v>1</v>
      </c>
      <c r="D1358" s="157">
        <v>164444444.44444445</v>
      </c>
      <c r="E1358" s="26">
        <f>VLOOKUP(5227,季財報!$A:$H,8,0)</f>
        <v>4</v>
      </c>
      <c r="F1358" s="160">
        <v>2.7291666666666659E-2</v>
      </c>
      <c r="G1358" s="54">
        <v>4925111111.1111107</v>
      </c>
      <c r="H1358" s="54">
        <v>1118720000</v>
      </c>
      <c r="I1358" s="65">
        <v>4.3689173500307463</v>
      </c>
      <c r="J1358" s="162">
        <v>0</v>
      </c>
    </row>
    <row r="1359" spans="1:10" hidden="1">
      <c r="A1359" s="64">
        <v>3164</v>
      </c>
      <c r="B1359" s="150">
        <v>0.12</v>
      </c>
      <c r="C1359" s="159">
        <v>1</v>
      </c>
      <c r="D1359" s="152">
        <v>91666666.666666672</v>
      </c>
      <c r="E1359" s="26">
        <f>VLOOKUP(3164,季財報!$A:$H,8,0)</f>
        <v>3</v>
      </c>
      <c r="F1359" s="159">
        <v>6.2458333333333338E-2</v>
      </c>
      <c r="G1359" s="152">
        <v>2332916666.6666665</v>
      </c>
      <c r="H1359" s="152">
        <v>535715000</v>
      </c>
      <c r="I1359" s="150">
        <v>4.4171479062135122</v>
      </c>
      <c r="J1359" s="152">
        <v>50</v>
      </c>
    </row>
    <row r="1360" spans="1:10" hidden="1">
      <c r="A1360" s="64">
        <v>1110</v>
      </c>
      <c r="B1360" s="150">
        <v>0.1</v>
      </c>
      <c r="C1360" s="159">
        <v>0.36046511627906974</v>
      </c>
      <c r="D1360" s="152">
        <v>610000000</v>
      </c>
      <c r="E1360" s="26">
        <f>VLOOKUP(1110,季財報!$A:$H,8,0)</f>
        <v>2</v>
      </c>
      <c r="F1360" s="159">
        <v>2.2666666666666703E-3</v>
      </c>
      <c r="G1360" s="152">
        <v>8479000000</v>
      </c>
      <c r="H1360" s="152">
        <v>1889523000</v>
      </c>
      <c r="I1360" s="150">
        <v>4.4217305711641002</v>
      </c>
      <c r="J1360" s="152">
        <v>50</v>
      </c>
    </row>
    <row r="1361" spans="1:11" hidden="1">
      <c r="A1361" s="64">
        <v>1476</v>
      </c>
      <c r="B1361" s="150">
        <v>4.93</v>
      </c>
      <c r="C1361" s="159">
        <v>0.87845546292233434</v>
      </c>
      <c r="D1361" s="152">
        <v>261054766.73427993</v>
      </c>
      <c r="E1361" s="26">
        <f>VLOOKUP(1476,季財報!$A:$H,8,0)</f>
        <v>3</v>
      </c>
      <c r="F1361" s="159">
        <v>2.523333333333333E-2</v>
      </c>
      <c r="G1361" s="152">
        <v>111861967545.63895</v>
      </c>
      <c r="H1361" s="152">
        <v>25148828000</v>
      </c>
      <c r="I1361" s="150">
        <v>4.50940458143734</v>
      </c>
      <c r="J1361" s="152">
        <v>24.735697872107611</v>
      </c>
    </row>
    <row r="1362" spans="1:11" hidden="1">
      <c r="A1362" s="64">
        <v>4133</v>
      </c>
      <c r="B1362" s="52">
        <v>0.15</v>
      </c>
      <c r="C1362" s="160">
        <v>0.76470588235294112</v>
      </c>
      <c r="D1362" s="157">
        <v>60000000</v>
      </c>
      <c r="E1362" s="26">
        <f>VLOOKUP(4133,季財報!$A:$H,8,0)</f>
        <v>2</v>
      </c>
      <c r="F1362" s="160">
        <v>1.2799999999999999E-2</v>
      </c>
      <c r="G1362" s="54">
        <v>2034000000</v>
      </c>
      <c r="H1362" s="54">
        <v>453003000</v>
      </c>
      <c r="I1362" s="65">
        <v>4.517480249905053</v>
      </c>
      <c r="J1362" s="162">
        <v>50</v>
      </c>
    </row>
    <row r="1363" spans="1:11" hidden="1">
      <c r="A1363" s="64">
        <v>5306</v>
      </c>
      <c r="B1363" s="52">
        <v>2</v>
      </c>
      <c r="C1363" s="160">
        <v>0.70422535211267601</v>
      </c>
      <c r="D1363" s="157">
        <v>112000000</v>
      </c>
      <c r="E1363" s="26">
        <f>VLOOKUP(5306,季財報!$A:$H,8,0)</f>
        <v>4</v>
      </c>
      <c r="F1363" s="160">
        <v>3.1016666666666665E-2</v>
      </c>
      <c r="G1363" s="54">
        <v>14784000000</v>
      </c>
      <c r="H1363" s="54">
        <v>3321783000</v>
      </c>
      <c r="I1363" s="65">
        <v>4.5240671559579129</v>
      </c>
      <c r="J1363" s="162">
        <v>23.430000000000003</v>
      </c>
    </row>
    <row r="1364" spans="1:11" hidden="1">
      <c r="A1364" s="64">
        <v>9945</v>
      </c>
      <c r="B1364" s="52">
        <v>2.72</v>
      </c>
      <c r="C1364" s="160">
        <v>0.13764379214597383</v>
      </c>
      <c r="D1364" s="157">
        <v>1285294117.6470587</v>
      </c>
      <c r="E1364" s="26">
        <f>VLOOKUP(9945,季財報!$A:$H,8,0)</f>
        <v>5</v>
      </c>
      <c r="F1364" s="160">
        <v>0.13240833333333332</v>
      </c>
      <c r="G1364" s="54">
        <v>56424411764.705879</v>
      </c>
      <c r="H1364" s="54">
        <v>12619134000</v>
      </c>
      <c r="I1364" s="65">
        <v>4.5303299025610322</v>
      </c>
      <c r="J1364" s="162">
        <v>29.314264070181384</v>
      </c>
    </row>
    <row r="1365" spans="1:11" hidden="1">
      <c r="A1365" s="64">
        <v>4971</v>
      </c>
      <c r="B1365" s="52">
        <v>0.48</v>
      </c>
      <c r="C1365" s="160">
        <v>1</v>
      </c>
      <c r="D1365" s="157">
        <v>33333333.333333336</v>
      </c>
      <c r="E1365" s="26">
        <f>VLOOKUP(4971,季財報!$A:$H,8,0)</f>
        <v>1</v>
      </c>
      <c r="F1365" s="160">
        <v>1.5174999999999999E-2</v>
      </c>
      <c r="G1365" s="54">
        <v>3950000000.0000005</v>
      </c>
      <c r="H1365" s="54">
        <v>864031000</v>
      </c>
      <c r="I1365" s="65">
        <v>4.6022974202666544</v>
      </c>
      <c r="J1365" s="162">
        <v>50</v>
      </c>
      <c r="K1365" s="32"/>
    </row>
    <row r="1366" spans="1:11" hidden="1">
      <c r="A1366" s="64">
        <v>6409</v>
      </c>
      <c r="B1366" s="52">
        <v>6.05</v>
      </c>
      <c r="C1366" s="160">
        <v>0.89808917197452232</v>
      </c>
      <c r="D1366" s="157">
        <v>74380165.2892562</v>
      </c>
      <c r="E1366" s="26">
        <f>VLOOKUP(6409,季財報!$A:$H,8,0)</f>
        <v>3</v>
      </c>
      <c r="F1366" s="160">
        <v>1.7000000000000005E-2</v>
      </c>
      <c r="G1366" s="54">
        <v>36780991735.537193</v>
      </c>
      <c r="H1366" s="54">
        <v>7982860000</v>
      </c>
      <c r="I1366" s="65">
        <v>4.6426442687467198</v>
      </c>
      <c r="J1366" s="162">
        <v>22.752622941210948</v>
      </c>
    </row>
    <row r="1367" spans="1:11" hidden="1">
      <c r="A1367" s="64">
        <v>1463</v>
      </c>
      <c r="B1367" s="150">
        <v>0.15</v>
      </c>
      <c r="C1367" s="159">
        <v>3.3333333333333333E-2</v>
      </c>
      <c r="D1367" s="152">
        <v>160000000</v>
      </c>
      <c r="E1367" s="26">
        <f>VLOOKUP(1463,季財報!$A:$H,8,0)</f>
        <v>2</v>
      </c>
      <c r="F1367" s="159">
        <v>1.2558333333333338E-2</v>
      </c>
      <c r="G1367" s="152">
        <v>2592000000</v>
      </c>
      <c r="H1367" s="152">
        <v>508805000</v>
      </c>
      <c r="I1367" s="150">
        <v>4.6722738760044846</v>
      </c>
      <c r="J1367" s="152">
        <v>50</v>
      </c>
    </row>
    <row r="1368" spans="1:11" hidden="1">
      <c r="A1368" s="64">
        <v>4167</v>
      </c>
      <c r="B1368" s="52">
        <v>-0.61</v>
      </c>
      <c r="C1368" s="160">
        <v>0.94392523364485981</v>
      </c>
      <c r="D1368" s="157">
        <v>190163934.42622951</v>
      </c>
      <c r="E1368" s="26">
        <f>VLOOKUP(4167,季財報!$A:$H,8,0)</f>
        <v>1</v>
      </c>
      <c r="F1368" s="160">
        <v>-9.2333333333333347E-3</v>
      </c>
      <c r="G1368" s="54">
        <v>5543278688.5245895</v>
      </c>
      <c r="H1368" s="54">
        <v>1163681000</v>
      </c>
      <c r="I1368" s="65">
        <v>4.6800523860267313</v>
      </c>
      <c r="J1368" s="162">
        <v>0</v>
      </c>
    </row>
    <row r="1369" spans="1:11" hidden="1">
      <c r="A1369" s="64">
        <v>1525</v>
      </c>
      <c r="B1369" s="150">
        <v>1.36</v>
      </c>
      <c r="C1369" s="159">
        <v>0</v>
      </c>
      <c r="D1369" s="152">
        <v>69852941.176470578</v>
      </c>
      <c r="E1369" s="26">
        <f>VLOOKUP(1525,季財報!$A:$H,8,0)</f>
        <v>1</v>
      </c>
      <c r="F1369" s="159">
        <v>3.5858333333333332E-2</v>
      </c>
      <c r="G1369" s="152">
        <v>5937499999.999999</v>
      </c>
      <c r="H1369" s="152">
        <v>1229071000</v>
      </c>
      <c r="I1369" s="150">
        <v>4.795495828019587</v>
      </c>
      <c r="J1369" s="152">
        <v>0</v>
      </c>
    </row>
    <row r="1370" spans="1:11" hidden="1">
      <c r="A1370" s="64">
        <v>5310</v>
      </c>
      <c r="B1370" s="52">
        <v>-0.04</v>
      </c>
      <c r="C1370" s="160">
        <v>0.66666666666666663</v>
      </c>
      <c r="D1370" s="157">
        <v>50000000</v>
      </c>
      <c r="E1370" s="26">
        <f>VLOOKUP(5310,季財報!$A:$H,8,0)</f>
        <v>2</v>
      </c>
      <c r="F1370" s="160">
        <v>3.0633333333333342E-2</v>
      </c>
      <c r="G1370" s="54">
        <v>1350000000</v>
      </c>
      <c r="H1370" s="54">
        <v>274305000</v>
      </c>
      <c r="I1370" s="65">
        <v>4.801553569332655</v>
      </c>
      <c r="J1370" s="162">
        <v>0</v>
      </c>
    </row>
    <row r="1371" spans="1:11" hidden="1">
      <c r="A1371" s="64">
        <v>2455</v>
      </c>
      <c r="B1371" s="150">
        <v>0.69</v>
      </c>
      <c r="C1371" s="159">
        <v>0.86337209302325579</v>
      </c>
      <c r="D1371" s="152">
        <v>247826086.95652175</v>
      </c>
      <c r="E1371" s="26">
        <f>VLOOKUP(2455,季財報!$A:$H,8,0)</f>
        <v>2</v>
      </c>
      <c r="F1371" s="159">
        <v>2.3216666666666663E-2</v>
      </c>
      <c r="G1371" s="152">
        <v>11288478260.869564</v>
      </c>
      <c r="H1371" s="152">
        <v>2330793000</v>
      </c>
      <c r="I1371" s="150">
        <v>4.8962956897548935</v>
      </c>
      <c r="J1371" s="152">
        <v>19.115307666032304</v>
      </c>
    </row>
    <row r="1372" spans="1:11" hidden="1">
      <c r="A1372" s="64">
        <v>3611</v>
      </c>
      <c r="B1372" s="150">
        <v>4.6100000000000003</v>
      </c>
      <c r="C1372" s="159">
        <v>0.83236994219653182</v>
      </c>
      <c r="D1372" s="152">
        <v>38177874.186550975</v>
      </c>
      <c r="E1372" s="26">
        <f>VLOOKUP(3611,季財報!$A:$H,8,0)</f>
        <v>3</v>
      </c>
      <c r="F1372" s="159">
        <v>3.4283333333333325E-2</v>
      </c>
      <c r="G1372" s="152">
        <v>13037744034.707157</v>
      </c>
      <c r="H1372" s="152">
        <v>2678544000</v>
      </c>
      <c r="I1372" s="150">
        <v>4.9076915910775814</v>
      </c>
      <c r="J1372" s="152">
        <v>22.249148891299104</v>
      </c>
    </row>
    <row r="1373" spans="1:11" hidden="1">
      <c r="A1373" s="64">
        <v>3662</v>
      </c>
      <c r="B1373" s="150">
        <v>0.95</v>
      </c>
      <c r="C1373" s="159">
        <v>0.96678966789667897</v>
      </c>
      <c r="D1373" s="152">
        <v>118947368.42105263</v>
      </c>
      <c r="E1373" s="26">
        <f>VLOOKUP(3662,季財報!$A:$H,8,0)</f>
        <v>1</v>
      </c>
      <c r="F1373" s="159">
        <v>6.7241666666666658E-2</v>
      </c>
      <c r="G1373" s="152">
        <v>10717157894.736841</v>
      </c>
      <c r="H1373" s="152">
        <v>2095839000</v>
      </c>
      <c r="I1373" s="150">
        <v>5.0857247298853423</v>
      </c>
      <c r="J1373" s="152">
        <v>24.525010044194453</v>
      </c>
    </row>
    <row r="1374" spans="1:11" hidden="1">
      <c r="A1374" s="64">
        <v>2235</v>
      </c>
      <c r="B1374" s="150">
        <v>2.02</v>
      </c>
      <c r="C1374" s="159">
        <v>0.79090909090909089</v>
      </c>
      <c r="D1374" s="152">
        <v>32178217.821782179</v>
      </c>
      <c r="E1374" s="26">
        <f>VLOOKUP(2235,季財報!$A:$H,8,0)</f>
        <v>3</v>
      </c>
      <c r="F1374" s="159">
        <v>2.233333333333333E-2</v>
      </c>
      <c r="G1374" s="152">
        <v>4504950495.0495052</v>
      </c>
      <c r="H1374" s="152">
        <v>875356000</v>
      </c>
      <c r="I1374" s="150">
        <v>5.1593642574665646</v>
      </c>
      <c r="J1374" s="152">
        <v>21.907363150108115</v>
      </c>
    </row>
    <row r="1375" spans="1:11" hidden="1">
      <c r="A1375" s="64">
        <v>3228</v>
      </c>
      <c r="B1375" s="155">
        <v>-0.33</v>
      </c>
      <c r="C1375" s="159">
        <v>1</v>
      </c>
      <c r="D1375" s="156">
        <v>63636363.636363633</v>
      </c>
      <c r="E1375" s="26">
        <f>VLOOKUP(3228,季財報!$A:$H,8,0)</f>
        <v>0</v>
      </c>
      <c r="F1375" s="159">
        <v>-1.4499999999999953E-3</v>
      </c>
      <c r="G1375" s="156">
        <v>1419090909.090909</v>
      </c>
      <c r="H1375" s="156">
        <v>272038000</v>
      </c>
      <c r="I1375" s="155">
        <v>5.1834960937824279</v>
      </c>
      <c r="J1375" s="156">
        <v>0</v>
      </c>
    </row>
    <row r="1376" spans="1:11" hidden="1">
      <c r="A1376" s="64">
        <v>3008</v>
      </c>
      <c r="B1376" s="150">
        <v>61.17</v>
      </c>
      <c r="C1376" s="159">
        <v>0.87198772064466612</v>
      </c>
      <c r="D1376" s="152">
        <v>134150727.48079124</v>
      </c>
      <c r="E1376" s="26">
        <f>VLOOKUP(3008,季財報!$A:$H,8,0)</f>
        <v>3</v>
      </c>
      <c r="F1376" s="159">
        <v>2.2124999999999995E-2</v>
      </c>
      <c r="G1376" s="152">
        <v>299156122282.16449</v>
      </c>
      <c r="H1376" s="152">
        <v>57679281000</v>
      </c>
      <c r="I1376" s="150">
        <v>5.1944097155085229</v>
      </c>
      <c r="J1376" s="152">
        <v>10.451918677728207</v>
      </c>
    </row>
    <row r="1377" spans="1:10" hidden="1">
      <c r="A1377" s="64">
        <v>8446</v>
      </c>
      <c r="B1377" s="52">
        <v>1.46</v>
      </c>
      <c r="C1377" s="160">
        <v>0.839622641509434</v>
      </c>
      <c r="D1377" s="157">
        <v>42465753.424657539</v>
      </c>
      <c r="E1377" s="26">
        <f>VLOOKUP(8446,季財報!$A:$H,8,0)</f>
        <v>2</v>
      </c>
      <c r="F1377" s="160">
        <v>0.13064166666666666</v>
      </c>
      <c r="G1377" s="54">
        <v>5350684931.5068502</v>
      </c>
      <c r="H1377" s="54">
        <v>1060964000</v>
      </c>
      <c r="I1377" s="65">
        <v>5.2340391353367357</v>
      </c>
      <c r="J1377" s="162">
        <v>25.696475296290593</v>
      </c>
    </row>
    <row r="1378" spans="1:10" hidden="1">
      <c r="A1378" s="64">
        <v>5324</v>
      </c>
      <c r="B1378" s="52">
        <v>-0.59</v>
      </c>
      <c r="C1378" s="160">
        <v>0.797752808988764</v>
      </c>
      <c r="D1378" s="157">
        <v>76271186.440677971</v>
      </c>
      <c r="E1378" s="26">
        <f>VLOOKUP(5324,季財報!$A:$H,8,0)</f>
        <v>1</v>
      </c>
      <c r="F1378" s="160">
        <v>7.5500000000000003E-3</v>
      </c>
      <c r="G1378" s="54">
        <v>762711864.40677977</v>
      </c>
      <c r="H1378" s="54">
        <v>142856000</v>
      </c>
      <c r="I1378" s="65">
        <v>5.360866106293348</v>
      </c>
      <c r="J1378" s="162">
        <v>0</v>
      </c>
    </row>
    <row r="1379" spans="1:10" hidden="1">
      <c r="A1379" s="64">
        <v>6146</v>
      </c>
      <c r="B1379" s="52">
        <v>2.4</v>
      </c>
      <c r="C1379" s="160">
        <v>0.98076923076923073</v>
      </c>
      <c r="D1379" s="157">
        <v>86666666.666666672</v>
      </c>
      <c r="E1379" s="26">
        <f>VLOOKUP(6146,季財報!$A:$H,8,0)</f>
        <v>2</v>
      </c>
      <c r="F1379" s="160">
        <v>-2.4083333333333348E-3</v>
      </c>
      <c r="G1379" s="54">
        <v>16986666666.666668</v>
      </c>
      <c r="H1379" s="54">
        <v>3156917000</v>
      </c>
      <c r="I1379" s="65">
        <v>5.3637797301122028</v>
      </c>
      <c r="J1379" s="162">
        <v>20.816993464052292</v>
      </c>
    </row>
    <row r="1380" spans="1:10" hidden="1">
      <c r="A1380" s="64">
        <v>5530</v>
      </c>
      <c r="B1380" s="52">
        <v>1.05</v>
      </c>
      <c r="C1380" s="160">
        <v>0.82440476190476186</v>
      </c>
      <c r="D1380" s="157">
        <v>400000000</v>
      </c>
      <c r="E1380" s="26">
        <f>VLOOKUP(5530,季財報!$A:$H,8,0)</f>
        <v>2</v>
      </c>
      <c r="F1380" s="160">
        <v>-3.8791666666666669E-2</v>
      </c>
      <c r="G1380" s="54">
        <v>22040000000</v>
      </c>
      <c r="H1380" s="54">
        <v>3804997000</v>
      </c>
      <c r="I1380" s="65">
        <v>5.4189161479275594</v>
      </c>
      <c r="J1380" s="162">
        <v>15.913357400722022</v>
      </c>
    </row>
    <row r="1381" spans="1:10" hidden="1">
      <c r="A1381" s="64">
        <v>8097</v>
      </c>
      <c r="B1381" s="52">
        <v>-0.17</v>
      </c>
      <c r="C1381" s="160">
        <v>1</v>
      </c>
      <c r="D1381" s="157">
        <v>29411764.705882352</v>
      </c>
      <c r="E1381" s="26">
        <f>VLOOKUP(8097,季財報!$A:$H,8,0)</f>
        <v>5</v>
      </c>
      <c r="F1381" s="160">
        <v>0.9312083333333333</v>
      </c>
      <c r="G1381" s="54">
        <v>317647058.82352942</v>
      </c>
      <c r="H1381" s="54">
        <v>55419000</v>
      </c>
      <c r="I1381" s="65">
        <v>5.4506419140231896</v>
      </c>
      <c r="J1381" s="162">
        <v>0</v>
      </c>
    </row>
    <row r="1382" spans="1:10" hidden="1">
      <c r="A1382" s="64">
        <v>8450</v>
      </c>
      <c r="B1382" s="52">
        <v>1.1399999999999999</v>
      </c>
      <c r="C1382" s="160">
        <v>0.7558139534883721</v>
      </c>
      <c r="D1382" s="157">
        <v>43859649.122807018</v>
      </c>
      <c r="E1382" s="26">
        <f>VLOOKUP(8450,季財報!$A:$H,8,0)</f>
        <v>3</v>
      </c>
      <c r="F1382" s="160">
        <v>2.5141666666666663E-2</v>
      </c>
      <c r="G1382" s="54">
        <v>3491228070.1754384</v>
      </c>
      <c r="H1382" s="54">
        <v>642082000</v>
      </c>
      <c r="I1382" s="65">
        <v>5.4940775638409738</v>
      </c>
      <c r="J1382" s="162">
        <v>23.095816464237519</v>
      </c>
    </row>
    <row r="1383" spans="1:10" hidden="1">
      <c r="A1383" s="64">
        <v>8432</v>
      </c>
      <c r="B1383" s="52">
        <v>0.35</v>
      </c>
      <c r="C1383" s="160">
        <v>0.82051282051282048</v>
      </c>
      <c r="D1383" s="157">
        <v>40000000</v>
      </c>
      <c r="E1383" s="26">
        <f>VLOOKUP(8432,季財報!$A:$H,8,0)</f>
        <v>1</v>
      </c>
      <c r="F1383" s="160">
        <v>-4.9333333333333321E-3</v>
      </c>
      <c r="G1383" s="54">
        <v>2916000000</v>
      </c>
      <c r="H1383" s="54">
        <v>518489000</v>
      </c>
      <c r="I1383" s="65">
        <v>5.5257308423328588</v>
      </c>
      <c r="J1383" s="162">
        <v>50</v>
      </c>
    </row>
    <row r="1384" spans="1:10" hidden="1">
      <c r="A1384" s="64">
        <v>3685</v>
      </c>
      <c r="B1384" s="150">
        <v>-0.7</v>
      </c>
      <c r="C1384" s="159">
        <v>0</v>
      </c>
      <c r="D1384" s="152">
        <v>80000000</v>
      </c>
      <c r="E1384" s="26">
        <f>VLOOKUP(3685,季財報!$A:$H,8,0)</f>
        <v>2</v>
      </c>
      <c r="F1384" s="159">
        <v>-2.9999999999999962E-3</v>
      </c>
      <c r="G1384" s="152">
        <v>3464000000</v>
      </c>
      <c r="H1384" s="152">
        <v>594842000</v>
      </c>
      <c r="I1384" s="150">
        <v>5.622272248470674</v>
      </c>
      <c r="J1384" s="152">
        <v>0</v>
      </c>
    </row>
    <row r="1385" spans="1:10" hidden="1">
      <c r="A1385" s="64">
        <v>2390</v>
      </c>
      <c r="B1385" s="150">
        <v>0.4</v>
      </c>
      <c r="C1385" s="159">
        <v>0</v>
      </c>
      <c r="D1385" s="152">
        <v>215000000</v>
      </c>
      <c r="E1385" s="26">
        <f>VLOOKUP(2390,季財報!$A:$H,8,0)</f>
        <v>3</v>
      </c>
      <c r="F1385" s="159">
        <v>1.6999999999999998E-2</v>
      </c>
      <c r="G1385" s="152">
        <v>4676250000</v>
      </c>
      <c r="H1385" s="152">
        <v>823001000</v>
      </c>
      <c r="I1385" s="150">
        <v>5.6536194650143567</v>
      </c>
      <c r="J1385" s="152">
        <v>0</v>
      </c>
    </row>
    <row r="1386" spans="1:10" hidden="1">
      <c r="A1386" s="64">
        <v>2496</v>
      </c>
      <c r="B1386" s="150">
        <v>-0.04</v>
      </c>
      <c r="C1386" s="159">
        <v>1</v>
      </c>
      <c r="D1386" s="152">
        <v>50000000</v>
      </c>
      <c r="E1386" s="26">
        <f>VLOOKUP(2496,季財報!$A:$H,8,0)</f>
        <v>2</v>
      </c>
      <c r="F1386" s="159">
        <v>0.14520833333333336</v>
      </c>
      <c r="G1386" s="152">
        <v>700000000</v>
      </c>
      <c r="H1386" s="152">
        <v>133541000</v>
      </c>
      <c r="I1386" s="150">
        <v>5.8030125925373257</v>
      </c>
      <c r="J1386" s="152">
        <v>0</v>
      </c>
    </row>
    <row r="1387" spans="1:10" hidden="1">
      <c r="A1387" s="64">
        <v>2722</v>
      </c>
      <c r="B1387" s="150">
        <v>0.93</v>
      </c>
      <c r="C1387" s="159">
        <v>0.9850746268656716</v>
      </c>
      <c r="D1387" s="152">
        <v>94623655.913978487</v>
      </c>
      <c r="E1387" s="26">
        <f>VLOOKUP(2722,季財報!$A:$H,8,0)</f>
        <v>1</v>
      </c>
      <c r="F1387" s="159">
        <v>5.0008333333333342E-2</v>
      </c>
      <c r="G1387" s="152">
        <v>4243870967.7419353</v>
      </c>
      <c r="H1387" s="152">
        <v>732081000</v>
      </c>
      <c r="I1387" s="150">
        <v>5.8251882094577567</v>
      </c>
      <c r="J1387" s="152">
        <v>12.239125122189638</v>
      </c>
    </row>
    <row r="1388" spans="1:10" hidden="1">
      <c r="A1388" s="64">
        <v>1536</v>
      </c>
      <c r="B1388" s="150">
        <v>1.49</v>
      </c>
      <c r="C1388" s="159">
        <v>0.84470989761092152</v>
      </c>
      <c r="D1388" s="152">
        <v>233557046.97986576</v>
      </c>
      <c r="E1388" s="26">
        <f>VLOOKUP(1536,季財報!$A:$H,8,0)</f>
        <v>4</v>
      </c>
      <c r="F1388" s="159">
        <v>3.2583333333333332E-2</v>
      </c>
      <c r="G1388" s="152">
        <v>30128859060.402683</v>
      </c>
      <c r="H1388" s="152">
        <v>5187390000</v>
      </c>
      <c r="I1388" s="150">
        <v>5.9265996495055013</v>
      </c>
      <c r="J1388" s="152">
        <v>25.623347569656293</v>
      </c>
    </row>
    <row r="1389" spans="1:10" hidden="1">
      <c r="A1389" s="64">
        <v>1565</v>
      </c>
      <c r="B1389" s="150">
        <v>9.35</v>
      </c>
      <c r="C1389" s="159">
        <v>0.81027667984189722</v>
      </c>
      <c r="D1389" s="152">
        <v>50374331.550802141</v>
      </c>
      <c r="E1389" s="26">
        <f>VLOOKUP(1565,季財報!$A:$H,8,0)</f>
        <v>5</v>
      </c>
      <c r="F1389" s="159">
        <v>1.4416666666666663E-2</v>
      </c>
      <c r="G1389" s="152">
        <v>33700427807.486633</v>
      </c>
      <c r="H1389" s="152">
        <v>5756360000</v>
      </c>
      <c r="I1389" s="150">
        <v>5.9369555832371104</v>
      </c>
      <c r="J1389" s="152">
        <v>22.076040172166429</v>
      </c>
    </row>
    <row r="1390" spans="1:10" hidden="1">
      <c r="A1390" s="64">
        <v>6236</v>
      </c>
      <c r="B1390" s="52">
        <v>-0.35</v>
      </c>
      <c r="C1390" s="160">
        <v>1</v>
      </c>
      <c r="D1390" s="157">
        <v>31428571.428571429</v>
      </c>
      <c r="E1390" s="26">
        <f>VLOOKUP(6236,季財報!$A:$H,8,0)</f>
        <v>1</v>
      </c>
      <c r="F1390" s="160">
        <v>5.6716666666666672E-2</v>
      </c>
      <c r="G1390" s="54">
        <v>994714285.71428573</v>
      </c>
      <c r="H1390" s="54">
        <v>157477000</v>
      </c>
      <c r="I1390" s="65">
        <v>6.0203254071047274</v>
      </c>
      <c r="J1390" s="162">
        <v>0</v>
      </c>
    </row>
    <row r="1391" spans="1:10" hidden="1">
      <c r="A1391" s="64">
        <v>4994</v>
      </c>
      <c r="B1391" s="52">
        <v>0.43</v>
      </c>
      <c r="C1391" s="160">
        <v>0</v>
      </c>
      <c r="D1391" s="157">
        <v>111627906.97674419</v>
      </c>
      <c r="E1391" s="26">
        <f>VLOOKUP(4994,季財報!$A:$H,8,0)</f>
        <v>4</v>
      </c>
      <c r="F1391" s="160">
        <v>-2.2983333333333328E-2</v>
      </c>
      <c r="G1391" s="54">
        <v>7914418604.6511641</v>
      </c>
      <c r="H1391" s="54">
        <v>1251809000</v>
      </c>
      <c r="I1391" s="65">
        <v>6.0480830063138251</v>
      </c>
      <c r="J1391" s="162">
        <v>0</v>
      </c>
    </row>
    <row r="1392" spans="1:10" hidden="1">
      <c r="A1392" s="64">
        <v>3073</v>
      </c>
      <c r="B1392" s="150">
        <v>-0.1</v>
      </c>
      <c r="C1392" s="159">
        <v>1</v>
      </c>
      <c r="D1392" s="152">
        <v>50000000</v>
      </c>
      <c r="E1392" s="26">
        <f>VLOOKUP(3073,季財報!$A:$H,8,0)</f>
        <v>1</v>
      </c>
      <c r="F1392" s="159">
        <v>9.2833333333333323E-2</v>
      </c>
      <c r="G1392" s="152">
        <v>305000000</v>
      </c>
      <c r="H1392" s="152">
        <v>47116000</v>
      </c>
      <c r="I1392" s="150">
        <v>6.2134577383013836</v>
      </c>
      <c r="J1392" s="152">
        <v>0</v>
      </c>
    </row>
    <row r="1393" spans="1:10" hidden="1">
      <c r="A1393" s="64">
        <v>4557</v>
      </c>
      <c r="B1393" s="52">
        <v>2.4</v>
      </c>
      <c r="C1393" s="160">
        <v>0.76229508196721307</v>
      </c>
      <c r="D1393" s="157">
        <v>30833333.333333336</v>
      </c>
      <c r="E1393" s="26">
        <f>VLOOKUP(4557,季財報!$A:$H,8,0)</f>
        <v>0</v>
      </c>
      <c r="F1393" s="160">
        <v>-0.10950833333333332</v>
      </c>
      <c r="G1393" s="54">
        <v>2220000000</v>
      </c>
      <c r="H1393" s="54">
        <v>435357000</v>
      </c>
      <c r="I1393" s="65">
        <v>6.4008488332867204</v>
      </c>
      <c r="J1393" s="162">
        <v>9.8387096774193559</v>
      </c>
    </row>
    <row r="1394" spans="1:10" hidden="1">
      <c r="A1394" s="64">
        <v>6194</v>
      </c>
      <c r="B1394" s="52">
        <v>-0.2</v>
      </c>
      <c r="C1394" s="160">
        <v>1</v>
      </c>
      <c r="D1394" s="157">
        <v>90000000</v>
      </c>
      <c r="E1394" s="26">
        <f>VLOOKUP(6194,季財報!$A:$H,8,0)</f>
        <v>3</v>
      </c>
      <c r="F1394" s="160">
        <v>9.5391666666666652E-2</v>
      </c>
      <c r="G1394" s="54">
        <v>1728000000</v>
      </c>
      <c r="H1394" s="54">
        <v>280166000</v>
      </c>
      <c r="I1394" s="65">
        <v>6.4894096439837767</v>
      </c>
      <c r="J1394" s="162">
        <v>0</v>
      </c>
    </row>
    <row r="1395" spans="1:10" hidden="1">
      <c r="A1395" s="64">
        <v>6452</v>
      </c>
      <c r="B1395" s="52">
        <v>4.03</v>
      </c>
      <c r="C1395" s="160">
        <v>0.89419087136929465</v>
      </c>
      <c r="D1395" s="157">
        <v>63771712.158808932</v>
      </c>
      <c r="E1395" s="26">
        <f>VLOOKUP(6452,季財報!$A:$H,8,0)</f>
        <v>2</v>
      </c>
      <c r="F1395" s="160">
        <v>-6.1524999999999996E-2</v>
      </c>
      <c r="G1395" s="54">
        <v>23404218362.282879</v>
      </c>
      <c r="H1395" s="54">
        <v>3983666000</v>
      </c>
      <c r="I1395" s="65">
        <v>6.5406738033654586</v>
      </c>
      <c r="J1395" s="162">
        <v>25.460726684437482</v>
      </c>
    </row>
    <row r="1396" spans="1:10" hidden="1">
      <c r="A1396" s="64">
        <v>8406</v>
      </c>
      <c r="B1396" s="52">
        <v>4.38</v>
      </c>
      <c r="C1396" s="160">
        <v>1</v>
      </c>
      <c r="D1396" s="157">
        <v>92465753.424657539</v>
      </c>
      <c r="E1396" s="26">
        <f>VLOOKUP(8406,季財報!$A:$H,8,0)</f>
        <v>1</v>
      </c>
      <c r="F1396" s="160">
        <v>2.019166666666666E-2</v>
      </c>
      <c r="G1396" s="54">
        <v>39482876712.328766</v>
      </c>
      <c r="H1396" s="54">
        <v>6048013000</v>
      </c>
      <c r="I1396" s="65">
        <v>6.6053927918681232</v>
      </c>
      <c r="J1396" s="162">
        <v>24.37214611872146</v>
      </c>
    </row>
    <row r="1397" spans="1:10" hidden="1">
      <c r="A1397" s="64">
        <v>6415</v>
      </c>
      <c r="B1397" s="52">
        <v>3.68</v>
      </c>
      <c r="C1397" s="160">
        <v>0.90677966101694918</v>
      </c>
      <c r="D1397" s="157">
        <v>76902173.913043469</v>
      </c>
      <c r="E1397" s="26">
        <f>VLOOKUP(6415,季財報!$A:$H,8,0)</f>
        <v>2</v>
      </c>
      <c r="F1397" s="160">
        <v>5.0016666666666675E-2</v>
      </c>
      <c r="G1397" s="54">
        <v>29607336956.521736</v>
      </c>
      <c r="H1397" s="54">
        <v>4572570000</v>
      </c>
      <c r="I1397" s="65">
        <v>6.7010213258129392</v>
      </c>
      <c r="J1397" s="162">
        <v>28.843711905729375</v>
      </c>
    </row>
    <row r="1398" spans="1:10" hidden="1">
      <c r="A1398" s="64">
        <v>3094</v>
      </c>
      <c r="B1398" s="150">
        <v>0.34</v>
      </c>
      <c r="C1398" s="159">
        <v>0.36363636363636365</v>
      </c>
      <c r="D1398" s="152">
        <v>82352941.176470578</v>
      </c>
      <c r="E1398" s="26">
        <f>VLOOKUP(3094,季財報!$A:$H,8,0)</f>
        <v>4</v>
      </c>
      <c r="F1398" s="159">
        <v>1.9600000000000003E-2</v>
      </c>
      <c r="G1398" s="152">
        <v>2157647058.8235292</v>
      </c>
      <c r="H1398" s="152">
        <v>323521000</v>
      </c>
      <c r="I1398" s="150">
        <v>6.7022450876545117</v>
      </c>
      <c r="J1398" s="152">
        <v>50</v>
      </c>
    </row>
    <row r="1399" spans="1:10" hidden="1">
      <c r="A1399" s="64">
        <v>4137</v>
      </c>
      <c r="B1399" s="52">
        <v>4.1100000000000003</v>
      </c>
      <c r="C1399" s="160">
        <v>0.87588652482269502</v>
      </c>
      <c r="D1399" s="157">
        <v>79562043.795620427</v>
      </c>
      <c r="E1399" s="26">
        <f>VLOOKUP(4137,季財報!$A:$H,8,0)</f>
        <v>2</v>
      </c>
      <c r="F1399" s="160">
        <v>0.11182499999999999</v>
      </c>
      <c r="G1399" s="54">
        <v>28284306569.343063</v>
      </c>
      <c r="H1399" s="54">
        <v>4250086000</v>
      </c>
      <c r="I1399" s="65">
        <v>6.8826921949410824</v>
      </c>
      <c r="J1399" s="162">
        <v>24.688229557611038</v>
      </c>
    </row>
    <row r="1400" spans="1:10" hidden="1">
      <c r="A1400" s="64">
        <v>1783</v>
      </c>
      <c r="B1400" s="150">
        <v>-0.08</v>
      </c>
      <c r="C1400" s="159">
        <v>1</v>
      </c>
      <c r="D1400" s="152">
        <v>75000000</v>
      </c>
      <c r="E1400" s="26">
        <f>VLOOKUP(1783,季財報!$A:$H,8,0)</f>
        <v>2</v>
      </c>
      <c r="F1400" s="159">
        <v>5.6483333333333337E-2</v>
      </c>
      <c r="G1400" s="152">
        <v>1762500000</v>
      </c>
      <c r="H1400" s="152">
        <v>259204000</v>
      </c>
      <c r="I1400" s="150">
        <v>6.8885597145302686</v>
      </c>
      <c r="J1400" s="152">
        <v>0</v>
      </c>
    </row>
    <row r="1401" spans="1:10" hidden="1">
      <c r="A1401" s="64">
        <v>2915</v>
      </c>
      <c r="B1401" s="150">
        <v>3</v>
      </c>
      <c r="C1401" s="159">
        <v>0</v>
      </c>
      <c r="D1401" s="152">
        <v>889333333.33333337</v>
      </c>
      <c r="E1401" s="26">
        <f>VLOOKUP(2915,季財報!$A:$H,8,0)</f>
        <v>3</v>
      </c>
      <c r="F1401" s="159">
        <v>0.26871666666666666</v>
      </c>
      <c r="G1401" s="152">
        <v>57273066666.666672</v>
      </c>
      <c r="H1401" s="152">
        <v>8772299000</v>
      </c>
      <c r="I1401" s="150">
        <v>6.9800650007868965</v>
      </c>
      <c r="J1401" s="152">
        <v>0</v>
      </c>
    </row>
    <row r="1402" spans="1:10" hidden="1">
      <c r="A1402" s="64">
        <v>8076</v>
      </c>
      <c r="B1402" s="52">
        <v>0.4</v>
      </c>
      <c r="C1402" s="160">
        <v>0.75</v>
      </c>
      <c r="D1402" s="157">
        <v>235000000</v>
      </c>
      <c r="E1402" s="26">
        <f>VLOOKUP(8076,季財報!$A:$H,8,0)</f>
        <v>3</v>
      </c>
      <c r="F1402" s="160">
        <v>2.0183333333333331E-2</v>
      </c>
      <c r="G1402" s="54">
        <v>19622500000</v>
      </c>
      <c r="H1402" s="54">
        <v>2775412000</v>
      </c>
      <c r="I1402" s="65">
        <v>7.120824487870375</v>
      </c>
      <c r="J1402" s="162">
        <v>50</v>
      </c>
    </row>
    <row r="1403" spans="1:10" hidden="1">
      <c r="A1403" s="64">
        <v>4426</v>
      </c>
      <c r="B1403" s="52">
        <v>1.91</v>
      </c>
      <c r="C1403" s="160">
        <v>0.92088607594936711</v>
      </c>
      <c r="D1403" s="157">
        <v>91099476.439790577</v>
      </c>
      <c r="E1403" s="26">
        <f>VLOOKUP(4426,季財報!$A:$H,8,0)</f>
        <v>4</v>
      </c>
      <c r="F1403" s="160">
        <v>7.8683333333333327E-2</v>
      </c>
      <c r="G1403" s="54">
        <v>14348167539.267015</v>
      </c>
      <c r="H1403" s="54">
        <v>2091214000</v>
      </c>
      <c r="I1403" s="65">
        <v>7.1211522449964493</v>
      </c>
      <c r="J1403" s="162">
        <v>22.386247098828736</v>
      </c>
    </row>
    <row r="1404" spans="1:10" hidden="1">
      <c r="A1404" s="64">
        <v>6237</v>
      </c>
      <c r="B1404" s="52">
        <v>1.57</v>
      </c>
      <c r="C1404" s="160">
        <v>0</v>
      </c>
      <c r="D1404" s="157">
        <v>77707006.369426742</v>
      </c>
      <c r="E1404" s="26">
        <f>VLOOKUP(6237,季財報!$A:$H,8,0)</f>
        <v>2</v>
      </c>
      <c r="F1404" s="160">
        <v>2.2091666666666673E-2</v>
      </c>
      <c r="G1404" s="54">
        <v>2587643312.1019101</v>
      </c>
      <c r="H1404" s="54">
        <v>364200000</v>
      </c>
      <c r="I1404" s="65">
        <v>7.1257457512306823</v>
      </c>
      <c r="J1404" s="162">
        <v>0</v>
      </c>
    </row>
    <row r="1405" spans="1:10" hidden="1">
      <c r="A1405" s="64">
        <v>9902</v>
      </c>
      <c r="B1405" s="52">
        <v>0.22</v>
      </c>
      <c r="C1405" s="160">
        <v>0</v>
      </c>
      <c r="D1405" s="157">
        <v>100000000</v>
      </c>
      <c r="E1405" s="26">
        <f>VLOOKUP(9902,季財報!$A:$H,8,0)</f>
        <v>2</v>
      </c>
      <c r="F1405" s="160">
        <v>0.38851666666666668</v>
      </c>
      <c r="G1405" s="54">
        <v>994000000</v>
      </c>
      <c r="H1405" s="54">
        <v>129860000</v>
      </c>
      <c r="I1405" s="65">
        <v>7.3061374494671076</v>
      </c>
      <c r="J1405" s="162">
        <v>0</v>
      </c>
    </row>
    <row r="1406" spans="1:10" hidden="1">
      <c r="A1406" s="64">
        <v>4128</v>
      </c>
      <c r="B1406" s="52">
        <v>-0.15</v>
      </c>
      <c r="C1406" s="160">
        <v>1</v>
      </c>
      <c r="D1406" s="157">
        <v>420000000</v>
      </c>
      <c r="E1406" s="26">
        <f>VLOOKUP(4128,季財報!$A:$H,8,0)</f>
        <v>2</v>
      </c>
      <c r="F1406" s="160">
        <v>-5.3749999999999978E-3</v>
      </c>
      <c r="G1406" s="54">
        <v>11382000000</v>
      </c>
      <c r="H1406" s="54">
        <v>1521034000</v>
      </c>
      <c r="I1406" s="65">
        <v>7.3845267499323635</v>
      </c>
      <c r="J1406" s="162">
        <v>0</v>
      </c>
    </row>
    <row r="1407" spans="1:10" hidden="1">
      <c r="A1407" s="64">
        <v>8437</v>
      </c>
      <c r="B1407" s="52">
        <v>2.63</v>
      </c>
      <c r="C1407" s="160">
        <v>0.88</v>
      </c>
      <c r="D1407" s="157">
        <v>32699619.771863118</v>
      </c>
      <c r="E1407" s="26">
        <f>VLOOKUP(8437,季財報!$A:$H,8,0)</f>
        <v>5</v>
      </c>
      <c r="F1407" s="160">
        <v>9.7958333333333328E-2</v>
      </c>
      <c r="G1407" s="54">
        <v>4316349809.885932</v>
      </c>
      <c r="H1407" s="54">
        <v>599672000</v>
      </c>
      <c r="I1407" s="65">
        <v>7.4001587748653845</v>
      </c>
      <c r="J1407" s="162">
        <v>14.258555133079847</v>
      </c>
    </row>
    <row r="1408" spans="1:10" hidden="1">
      <c r="A1408" s="64">
        <v>8422</v>
      </c>
      <c r="B1408" s="52">
        <v>2.99</v>
      </c>
      <c r="C1408" s="160">
        <v>0.96534653465346532</v>
      </c>
      <c r="D1408" s="157">
        <v>108695652.17391303</v>
      </c>
      <c r="E1408" s="26">
        <f>VLOOKUP(8422,季財報!$A:$H,8,0)</f>
        <v>5</v>
      </c>
      <c r="F1408" s="160">
        <v>4.0691666666666675E-2</v>
      </c>
      <c r="G1408" s="54">
        <v>19347826086.95652</v>
      </c>
      <c r="H1408" s="54">
        <v>2669332000</v>
      </c>
      <c r="I1408" s="65">
        <v>7.4661471883638963</v>
      </c>
      <c r="J1408" s="162">
        <v>15.417202641282907</v>
      </c>
    </row>
    <row r="1409" spans="1:11" hidden="1">
      <c r="A1409" s="64">
        <v>4107</v>
      </c>
      <c r="B1409" s="52">
        <v>1.45</v>
      </c>
      <c r="C1409" s="160">
        <v>0.8044692737430168</v>
      </c>
      <c r="D1409" s="157">
        <v>70344827.586206898</v>
      </c>
      <c r="E1409" s="26">
        <f>VLOOKUP(4107,季財報!$A:$H,8,0)</f>
        <v>3</v>
      </c>
      <c r="F1409" s="160">
        <v>9.4166666666666652E-3</v>
      </c>
      <c r="G1409" s="54">
        <v>9285517241.3793106</v>
      </c>
      <c r="H1409" s="54">
        <v>1247961000</v>
      </c>
      <c r="I1409" s="65">
        <v>7.4974018863004304</v>
      </c>
      <c r="J1409" s="162">
        <v>28.290229885057467</v>
      </c>
    </row>
    <row r="1410" spans="1:11" hidden="1">
      <c r="A1410" s="64">
        <v>3205</v>
      </c>
      <c r="B1410" s="150">
        <v>4.1100000000000003</v>
      </c>
      <c r="C1410" s="159">
        <v>1</v>
      </c>
      <c r="D1410" s="152">
        <v>25304136.253041361</v>
      </c>
      <c r="E1410" s="26">
        <f>VLOOKUP(3205,季財報!$A:$H,8,0)</f>
        <v>5</v>
      </c>
      <c r="F1410" s="159">
        <v>0.14305833333333332</v>
      </c>
      <c r="G1410" s="152">
        <v>7641849148.4184904</v>
      </c>
      <c r="H1410" s="152">
        <v>1124238000</v>
      </c>
      <c r="I1410" s="150">
        <v>7.6289866768812686</v>
      </c>
      <c r="J1410" s="152">
        <v>18.369829683698295</v>
      </c>
    </row>
    <row r="1411" spans="1:11" hidden="1">
      <c r="A1411" s="64">
        <v>4161</v>
      </c>
      <c r="B1411" s="52">
        <v>0.04</v>
      </c>
      <c r="C1411" s="160">
        <v>1</v>
      </c>
      <c r="D1411" s="157">
        <v>50000000</v>
      </c>
      <c r="E1411" s="26">
        <f>VLOOKUP(4161,季財報!$A:$H,8,0)</f>
        <v>2</v>
      </c>
      <c r="F1411" s="160">
        <v>4.3258333333333343E-2</v>
      </c>
      <c r="G1411" s="54">
        <v>3575000000</v>
      </c>
      <c r="H1411" s="54">
        <v>472931000</v>
      </c>
      <c r="I1411" s="65">
        <v>7.6866677703933206</v>
      </c>
      <c r="J1411" s="162">
        <v>50</v>
      </c>
    </row>
    <row r="1412" spans="1:11" hidden="1">
      <c r="A1412" s="64">
        <v>4198</v>
      </c>
      <c r="B1412" s="52">
        <v>-0.81</v>
      </c>
      <c r="C1412" s="160">
        <v>1</v>
      </c>
      <c r="D1412" s="157">
        <v>141975308.64197531</v>
      </c>
      <c r="E1412" s="26">
        <f>VLOOKUP(4198,季財報!$A:$H,8,0)</f>
        <v>4</v>
      </c>
      <c r="F1412" s="160">
        <v>0.31736666666666669</v>
      </c>
      <c r="G1412" s="54">
        <v>4990432098.7654324</v>
      </c>
      <c r="H1412" s="54">
        <v>651896000</v>
      </c>
      <c r="I1412" s="65">
        <v>7.7673666529679704</v>
      </c>
      <c r="J1412" s="162">
        <v>0</v>
      </c>
    </row>
    <row r="1413" spans="1:11" hidden="1">
      <c r="A1413" s="64">
        <v>5269</v>
      </c>
      <c r="B1413" s="52">
        <v>1.62</v>
      </c>
      <c r="C1413" s="160">
        <v>0.66666666666666663</v>
      </c>
      <c r="D1413" s="157">
        <v>56790123.456790119</v>
      </c>
      <c r="E1413" s="26">
        <f>VLOOKUP(5269,季財報!$A:$H,8,0)</f>
        <v>6</v>
      </c>
      <c r="F1413" s="160">
        <v>4.6833333333333338E-2</v>
      </c>
      <c r="G1413" s="54">
        <v>11812345679.012344</v>
      </c>
      <c r="H1413" s="54">
        <v>1548617000</v>
      </c>
      <c r="I1413" s="65">
        <v>7.8437365685336351</v>
      </c>
      <c r="J1413" s="162">
        <v>48.148148148148145</v>
      </c>
    </row>
    <row r="1414" spans="1:11" hidden="1">
      <c r="A1414" s="64">
        <v>4171</v>
      </c>
      <c r="B1414" s="52">
        <v>0.17</v>
      </c>
      <c r="C1414" s="160">
        <v>1</v>
      </c>
      <c r="D1414" s="157">
        <v>35294117.647058822</v>
      </c>
      <c r="E1414" s="26">
        <f>VLOOKUP(4171,季財報!$A:$H,8,0)</f>
        <v>2</v>
      </c>
      <c r="F1414" s="160">
        <v>6.6083333333333341E-2</v>
      </c>
      <c r="G1414" s="54">
        <v>1164705882.352941</v>
      </c>
      <c r="H1414" s="54">
        <v>146412000</v>
      </c>
      <c r="I1414" s="65">
        <v>8.0163663430834742</v>
      </c>
      <c r="J1414" s="162">
        <v>48.529411764705877</v>
      </c>
    </row>
    <row r="1415" spans="1:11" hidden="1">
      <c r="A1415" s="64">
        <v>1432</v>
      </c>
      <c r="B1415" s="150">
        <v>-0.02</v>
      </c>
      <c r="C1415" s="159">
        <v>1</v>
      </c>
      <c r="D1415" s="152">
        <v>150000000</v>
      </c>
      <c r="E1415" s="26">
        <f>VLOOKUP(1432,季財報!$A:$H,8,0)</f>
        <v>2</v>
      </c>
      <c r="F1415" s="159">
        <v>0.34774166666666667</v>
      </c>
      <c r="G1415" s="152">
        <v>2992500000</v>
      </c>
      <c r="H1415" s="152">
        <v>370539000</v>
      </c>
      <c r="I1415" s="150">
        <v>8.0434467076297835</v>
      </c>
      <c r="J1415" s="152">
        <v>0</v>
      </c>
    </row>
    <row r="1416" spans="1:11" hidden="1">
      <c r="A1416" s="64">
        <v>2910</v>
      </c>
      <c r="B1416" s="150">
        <v>7.0000000000000007E-2</v>
      </c>
      <c r="C1416" s="159">
        <v>1</v>
      </c>
      <c r="D1416" s="152">
        <v>185714285.7142857</v>
      </c>
      <c r="E1416" s="26">
        <f>VLOOKUP(2910,季財報!$A:$H,8,0)</f>
        <v>1</v>
      </c>
      <c r="F1416" s="159">
        <v>8.0058333333333329E-2</v>
      </c>
      <c r="G1416" s="152">
        <v>5404285714.2857141</v>
      </c>
      <c r="H1416" s="152">
        <v>665108000</v>
      </c>
      <c r="I1416" s="150">
        <v>8.2218343492721289</v>
      </c>
      <c r="J1416" s="152">
        <v>50</v>
      </c>
    </row>
    <row r="1417" spans="1:11" hidden="1">
      <c r="A1417" s="64">
        <v>5287</v>
      </c>
      <c r="B1417" s="52">
        <v>3.29</v>
      </c>
      <c r="C1417" s="160">
        <v>0.96415770609318996</v>
      </c>
      <c r="D1417" s="157">
        <v>41033434.650455929</v>
      </c>
      <c r="E1417" s="26">
        <f>VLOOKUP(5287,季財報!$A:$H,8,0)</f>
        <v>2</v>
      </c>
      <c r="F1417" s="160">
        <v>3.1500000000000018E-3</v>
      </c>
      <c r="G1417" s="54">
        <v>11243161094.224924</v>
      </c>
      <c r="H1417" s="54">
        <v>1354982000</v>
      </c>
      <c r="I1417" s="65">
        <v>8.2824257842702647</v>
      </c>
      <c r="J1417" s="162">
        <v>21.594671246652581</v>
      </c>
    </row>
    <row r="1418" spans="1:11" hidden="1">
      <c r="A1418" s="64">
        <v>6228</v>
      </c>
      <c r="B1418" s="52">
        <v>0.01</v>
      </c>
      <c r="C1418" s="160">
        <v>1</v>
      </c>
      <c r="D1418" s="157">
        <v>100000000</v>
      </c>
      <c r="E1418" s="26">
        <f>VLOOKUP(6228,季財報!$A:$H,8,0)</f>
        <v>4</v>
      </c>
      <c r="F1418" s="160">
        <v>9.5158333333333331E-2</v>
      </c>
      <c r="G1418" s="54">
        <v>1080000000</v>
      </c>
      <c r="H1418" s="54">
        <v>112377000</v>
      </c>
      <c r="I1418" s="65">
        <v>8.3395107487027431</v>
      </c>
      <c r="J1418" s="162">
        <v>50</v>
      </c>
      <c r="K1418" s="32"/>
    </row>
    <row r="1419" spans="1:11" hidden="1">
      <c r="A1419" s="64">
        <v>8926</v>
      </c>
      <c r="B1419" s="52">
        <v>0.56999999999999995</v>
      </c>
      <c r="C1419" s="160">
        <v>7.4850299401197598E-2</v>
      </c>
      <c r="D1419" s="157">
        <v>592982456.14035094</v>
      </c>
      <c r="E1419" s="26">
        <f>VLOOKUP(8926,季財報!$A:$H,8,0)</f>
        <v>3</v>
      </c>
      <c r="F1419" s="160">
        <v>0.11764999999999999</v>
      </c>
      <c r="G1419" s="54">
        <v>13638596491.228071</v>
      </c>
      <c r="H1419" s="54">
        <v>1641307000</v>
      </c>
      <c r="I1419" s="65">
        <v>8.383561912108652</v>
      </c>
      <c r="J1419" s="162">
        <v>50</v>
      </c>
    </row>
    <row r="1420" spans="1:11" hidden="1">
      <c r="A1420" s="64">
        <v>3040</v>
      </c>
      <c r="B1420" s="150">
        <v>0.86</v>
      </c>
      <c r="C1420" s="159">
        <v>0</v>
      </c>
      <c r="D1420" s="152">
        <v>62790697.674418606</v>
      </c>
      <c r="E1420" s="26">
        <f>VLOOKUP(3040,季財報!$A:$H,8,0)</f>
        <v>2</v>
      </c>
      <c r="F1420" s="159">
        <v>1.3383333333333325E-2</v>
      </c>
      <c r="G1420" s="152">
        <v>1965348837.2093024</v>
      </c>
      <c r="H1420" s="152">
        <v>229223000</v>
      </c>
      <c r="I1420" s="150">
        <v>8.4770678312879948</v>
      </c>
      <c r="J1420" s="152">
        <v>0</v>
      </c>
    </row>
    <row r="1421" spans="1:11" hidden="1">
      <c r="A1421" s="64">
        <v>1419</v>
      </c>
      <c r="B1421" s="150">
        <v>0.6</v>
      </c>
      <c r="C1421" s="159">
        <v>0</v>
      </c>
      <c r="D1421" s="152">
        <v>298333333.33333337</v>
      </c>
      <c r="E1421" s="26">
        <f>VLOOKUP(1419,季財報!$A:$H,8,0)</f>
        <v>2</v>
      </c>
      <c r="F1421" s="159">
        <v>3.9858333333333336E-2</v>
      </c>
      <c r="G1421" s="152">
        <v>9859916666.6666679</v>
      </c>
      <c r="H1421" s="152">
        <v>1151978000</v>
      </c>
      <c r="I1421" s="150">
        <v>8.739178232585239</v>
      </c>
      <c r="J1421" s="152">
        <v>0</v>
      </c>
    </row>
    <row r="1422" spans="1:11" hidden="1">
      <c r="A1422" s="64">
        <v>6111</v>
      </c>
      <c r="B1422" s="52">
        <v>2.2599999999999998</v>
      </c>
      <c r="C1422" s="160">
        <v>0.5757575757575758</v>
      </c>
      <c r="D1422" s="157">
        <v>45575221.238938056</v>
      </c>
      <c r="E1422" s="26">
        <f>VLOOKUP(6111,季財報!$A:$H,8,0)</f>
        <v>4</v>
      </c>
      <c r="F1422" s="160">
        <v>0.16697500000000001</v>
      </c>
      <c r="G1422" s="54">
        <v>6266592920.3539829</v>
      </c>
      <c r="H1422" s="54">
        <v>718935000</v>
      </c>
      <c r="I1422" s="65">
        <v>8.8405562285094117</v>
      </c>
      <c r="J1422" s="162">
        <v>26.417675826734978</v>
      </c>
    </row>
    <row r="1423" spans="1:11" hidden="1">
      <c r="A1423" s="64">
        <v>8341</v>
      </c>
      <c r="B1423" s="52">
        <v>1.2</v>
      </c>
      <c r="C1423" s="160">
        <v>1</v>
      </c>
      <c r="D1423" s="157">
        <v>111666666.66666667</v>
      </c>
      <c r="E1423" s="26">
        <f>VLOOKUP(8341,季財報!$A:$H,8,0)</f>
        <v>4</v>
      </c>
      <c r="F1423" s="160">
        <v>5.4891666666666651E-2</v>
      </c>
      <c r="G1423" s="54">
        <v>14070000000</v>
      </c>
      <c r="H1423" s="54">
        <v>1606895000</v>
      </c>
      <c r="I1423" s="65">
        <v>8.9122946593375136</v>
      </c>
      <c r="J1423" s="162">
        <v>26.25</v>
      </c>
    </row>
    <row r="1424" spans="1:11" hidden="1">
      <c r="A1424" s="64">
        <v>2059</v>
      </c>
      <c r="B1424" s="150">
        <v>7.99</v>
      </c>
      <c r="C1424" s="159">
        <v>0.6807909604519774</v>
      </c>
      <c r="D1424" s="152">
        <v>95244055.068836048</v>
      </c>
      <c r="E1424" s="26">
        <f>VLOOKUP(2059,季財報!$A:$H,8,0)</f>
        <v>4</v>
      </c>
      <c r="F1424" s="159">
        <v>5.2249999999999979E-3</v>
      </c>
      <c r="G1424" s="152">
        <v>41002565707.133919</v>
      </c>
      <c r="H1424" s="152">
        <v>4503651000</v>
      </c>
      <c r="I1424" s="150">
        <v>9.0336048254792338</v>
      </c>
      <c r="J1424" s="152">
        <v>19.785753976703244</v>
      </c>
    </row>
    <row r="1425" spans="1:10" hidden="1">
      <c r="A1425" s="64">
        <v>1529</v>
      </c>
      <c r="B1425" s="150">
        <v>-0.05</v>
      </c>
      <c r="C1425" s="159">
        <v>0.26190476190476192</v>
      </c>
      <c r="D1425" s="152">
        <v>300000000</v>
      </c>
      <c r="E1425" s="26">
        <f>VLOOKUP(1529,季財報!$A:$H,8,0)</f>
        <v>0</v>
      </c>
      <c r="F1425" s="159">
        <v>2.996</v>
      </c>
      <c r="G1425" s="152">
        <v>1353000000</v>
      </c>
      <c r="H1425" s="152">
        <v>158822000</v>
      </c>
      <c r="I1425" s="150">
        <v>9.1531477898496796</v>
      </c>
      <c r="J1425" s="152">
        <v>0</v>
      </c>
    </row>
    <row r="1426" spans="1:10" hidden="1">
      <c r="A1426" s="64">
        <v>3064</v>
      </c>
      <c r="B1426" s="150">
        <v>-0.57999999999999996</v>
      </c>
      <c r="C1426" s="159">
        <v>1</v>
      </c>
      <c r="D1426" s="152">
        <v>72413793.103448287</v>
      </c>
      <c r="E1426" s="26">
        <f>VLOOKUP(3064,季財報!$A:$H,8,0)</f>
        <v>2</v>
      </c>
      <c r="F1426" s="159">
        <v>0.40414166666666668</v>
      </c>
      <c r="G1426" s="152">
        <v>1404827586.2068965</v>
      </c>
      <c r="H1426" s="152">
        <v>146677000</v>
      </c>
      <c r="I1426" s="150">
        <v>9.3988518358906017</v>
      </c>
      <c r="J1426" s="152">
        <v>0</v>
      </c>
    </row>
    <row r="1427" spans="1:10" hidden="1">
      <c r="A1427" s="64">
        <v>3152</v>
      </c>
      <c r="B1427" s="150">
        <v>3.52</v>
      </c>
      <c r="C1427" s="159">
        <v>0.87710843373493974</v>
      </c>
      <c r="D1427" s="152">
        <v>69034090.909090906</v>
      </c>
      <c r="E1427" s="26">
        <f>VLOOKUP(3152,季財報!$A:$H,8,0)</f>
        <v>5</v>
      </c>
      <c r="F1427" s="159">
        <v>3.6716666666666661E-2</v>
      </c>
      <c r="G1427" s="152">
        <v>15739772727.272726</v>
      </c>
      <c r="H1427" s="152">
        <v>1709975000</v>
      </c>
      <c r="I1427" s="150">
        <v>9.5176540078867813</v>
      </c>
      <c r="J1427" s="152">
        <v>18.462006743256744</v>
      </c>
    </row>
    <row r="1428" spans="1:10" hidden="1">
      <c r="A1428" s="64">
        <v>4105</v>
      </c>
      <c r="B1428" s="52">
        <v>0.97</v>
      </c>
      <c r="C1428" s="160">
        <v>0.83058823529411763</v>
      </c>
      <c r="D1428" s="157">
        <v>249484536.08247423</v>
      </c>
      <c r="E1428" s="26">
        <f>VLOOKUP(4105,季財報!$A:$H,8,0)</f>
        <v>3</v>
      </c>
      <c r="F1428" s="160">
        <v>6.0875000000000005E-2</v>
      </c>
      <c r="G1428" s="54">
        <v>31060824742.268044</v>
      </c>
      <c r="H1428" s="54">
        <v>3187951000</v>
      </c>
      <c r="I1428" s="65">
        <v>9.9738986029745718</v>
      </c>
      <c r="J1428" s="162">
        <v>38.632414357057336</v>
      </c>
    </row>
    <row r="1429" spans="1:10" hidden="1">
      <c r="A1429" s="64">
        <v>2913</v>
      </c>
      <c r="B1429" s="150">
        <v>0.24</v>
      </c>
      <c r="C1429" s="159">
        <v>0.13589743589743589</v>
      </c>
      <c r="D1429" s="152">
        <v>795833333.33333337</v>
      </c>
      <c r="E1429" s="26">
        <f>VLOOKUP(2913,季財報!$A:$H,8,0)</f>
        <v>1</v>
      </c>
      <c r="F1429" s="159">
        <v>-4.2233333333333338E-2</v>
      </c>
      <c r="G1429" s="152">
        <v>11022291666.666666</v>
      </c>
      <c r="H1429" s="152">
        <v>1035778000</v>
      </c>
      <c r="I1429" s="150">
        <v>9.9879133920461864</v>
      </c>
      <c r="J1429" s="152">
        <v>50</v>
      </c>
    </row>
    <row r="1430" spans="1:10" hidden="1">
      <c r="A1430" s="64">
        <v>5205</v>
      </c>
      <c r="B1430" s="52">
        <v>-0.2</v>
      </c>
      <c r="C1430" s="160">
        <v>1</v>
      </c>
      <c r="D1430" s="157">
        <v>15000000</v>
      </c>
      <c r="E1430" s="26">
        <f>VLOOKUP(5205,季財報!$A:$H,8,0)</f>
        <v>0</v>
      </c>
      <c r="F1430" s="160">
        <v>1.6770416666666668</v>
      </c>
      <c r="G1430" s="54">
        <v>157500000</v>
      </c>
      <c r="H1430" s="54">
        <v>3028000</v>
      </c>
      <c r="I1430" s="65">
        <v>10</v>
      </c>
      <c r="J1430" s="162">
        <v>0</v>
      </c>
    </row>
    <row r="1431" spans="1:10" hidden="1">
      <c r="A1431" s="64">
        <v>8077</v>
      </c>
      <c r="B1431" s="52">
        <v>-0.25</v>
      </c>
      <c r="C1431" s="160">
        <v>1</v>
      </c>
      <c r="D1431" s="157">
        <v>52000000</v>
      </c>
      <c r="E1431" s="26">
        <f>VLOOKUP(8077,季財報!$A:$H,8,0)</f>
        <v>4</v>
      </c>
      <c r="F1431" s="160">
        <v>0.93610000000000015</v>
      </c>
      <c r="G1431" s="54">
        <v>2592200000</v>
      </c>
      <c r="H1431" s="54">
        <v>264557000</v>
      </c>
      <c r="I1431" s="65">
        <v>10</v>
      </c>
      <c r="J1431" s="162">
        <v>0</v>
      </c>
    </row>
    <row r="1432" spans="1:10" hidden="1">
      <c r="A1432" s="64">
        <v>3520</v>
      </c>
      <c r="B1432" s="150">
        <v>0.15</v>
      </c>
      <c r="C1432" s="159">
        <v>1</v>
      </c>
      <c r="D1432" s="152">
        <v>53333333.333333336</v>
      </c>
      <c r="E1432" s="26">
        <f>VLOOKUP(3520,季財報!$A:$H,8,0)</f>
        <v>4</v>
      </c>
      <c r="F1432" s="159">
        <v>2.1833333333333357E-3</v>
      </c>
      <c r="G1432" s="152">
        <v>6160000000</v>
      </c>
      <c r="H1432" s="152">
        <v>545279000</v>
      </c>
      <c r="I1432" s="150">
        <v>10</v>
      </c>
      <c r="J1432" s="152">
        <v>50</v>
      </c>
    </row>
    <row r="1433" spans="1:10" hidden="1">
      <c r="A1433" s="64">
        <v>3083</v>
      </c>
      <c r="B1433" s="150">
        <v>-0.79</v>
      </c>
      <c r="C1433" s="159">
        <v>1</v>
      </c>
      <c r="D1433" s="152">
        <v>86075949.367088601</v>
      </c>
      <c r="E1433" s="26">
        <f>VLOOKUP(3083,季財報!$A:$H,8,0)</f>
        <v>2</v>
      </c>
      <c r="F1433" s="159">
        <v>7.3466666666666666E-2</v>
      </c>
      <c r="G1433" s="152">
        <v>3365569620.2531643</v>
      </c>
      <c r="H1433" s="152">
        <v>330400000</v>
      </c>
      <c r="I1433" s="150">
        <v>10</v>
      </c>
      <c r="J1433" s="152">
        <v>0</v>
      </c>
    </row>
    <row r="1434" spans="1:10" hidden="1">
      <c r="A1434" s="64">
        <v>1235</v>
      </c>
      <c r="B1434" s="150">
        <v>0.95</v>
      </c>
      <c r="C1434" s="159">
        <v>0</v>
      </c>
      <c r="D1434" s="152">
        <v>58947368.421052635</v>
      </c>
      <c r="E1434" s="26">
        <f>VLOOKUP(1235,季財報!$A:$H,8,0)</f>
        <v>3</v>
      </c>
      <c r="F1434" s="159">
        <v>1.9308333333333334E-2</v>
      </c>
      <c r="G1434" s="152">
        <v>1087578947.3684211</v>
      </c>
      <c r="H1434" s="152">
        <v>105224000</v>
      </c>
      <c r="I1434" s="150">
        <v>10</v>
      </c>
      <c r="J1434" s="152">
        <v>0</v>
      </c>
    </row>
    <row r="1435" spans="1:10" hidden="1">
      <c r="A1435" s="64">
        <v>1436</v>
      </c>
      <c r="B1435" s="150">
        <v>-0.2</v>
      </c>
      <c r="C1435" s="159">
        <v>0.69444444444444442</v>
      </c>
      <c r="D1435" s="152">
        <v>70000000</v>
      </c>
      <c r="E1435" s="26">
        <f>VLOOKUP(1436,季財報!$A:$H,8,0)</f>
        <v>2</v>
      </c>
      <c r="F1435" s="159">
        <v>6.6618666666666675</v>
      </c>
      <c r="G1435" s="152">
        <v>2845500000</v>
      </c>
      <c r="H1435" s="152">
        <v>165349000</v>
      </c>
      <c r="I1435" s="150">
        <v>10</v>
      </c>
      <c r="J1435" s="152">
        <v>0</v>
      </c>
    </row>
    <row r="1436" spans="1:10" hidden="1">
      <c r="A1436" s="64">
        <v>1438</v>
      </c>
      <c r="B1436" s="150">
        <v>0.04</v>
      </c>
      <c r="C1436" s="159">
        <v>1</v>
      </c>
      <c r="D1436" s="152">
        <v>100000000</v>
      </c>
      <c r="E1436" s="26">
        <f>VLOOKUP(1438,季財報!$A:$H,8,0)</f>
        <v>4</v>
      </c>
      <c r="F1436" s="159">
        <v>287.41354166666667</v>
      </c>
      <c r="G1436" s="152">
        <v>461000000.00000006</v>
      </c>
      <c r="H1436" s="152">
        <v>35274000</v>
      </c>
      <c r="I1436" s="150">
        <v>10</v>
      </c>
      <c r="J1436" s="152">
        <v>28.8125</v>
      </c>
    </row>
    <row r="1437" spans="1:10" hidden="1">
      <c r="A1437" s="64">
        <v>1729</v>
      </c>
      <c r="B1437" s="150">
        <v>0.03</v>
      </c>
      <c r="C1437" s="159">
        <v>1</v>
      </c>
      <c r="D1437" s="152">
        <v>200000000</v>
      </c>
      <c r="E1437" s="26">
        <f>VLOOKUP(1729,季財報!$A:$H,8,0)</f>
        <v>4</v>
      </c>
      <c r="F1437" s="159">
        <v>3.6308333333333331E-2</v>
      </c>
      <c r="G1437" s="152">
        <v>14300000000</v>
      </c>
      <c r="H1437" s="152">
        <v>1394318000</v>
      </c>
      <c r="I1437" s="150">
        <v>10</v>
      </c>
      <c r="J1437" s="152">
        <v>50</v>
      </c>
    </row>
    <row r="1438" spans="1:10" hidden="1">
      <c r="A1438" s="64">
        <v>1786</v>
      </c>
      <c r="B1438" s="150">
        <v>0.48</v>
      </c>
      <c r="C1438" s="159">
        <v>0.76666666666666672</v>
      </c>
      <c r="D1438" s="152">
        <v>52083333.333333336</v>
      </c>
      <c r="E1438" s="26">
        <f>VLOOKUP(1786,季財報!$A:$H,8,0)</f>
        <v>5</v>
      </c>
      <c r="F1438" s="159">
        <v>0.16544999999999999</v>
      </c>
      <c r="G1438" s="152">
        <v>3359375000</v>
      </c>
      <c r="H1438" s="152">
        <v>250277000</v>
      </c>
      <c r="I1438" s="150">
        <v>10</v>
      </c>
      <c r="J1438" s="152">
        <v>43.817934782608695</v>
      </c>
    </row>
    <row r="1439" spans="1:10" hidden="1">
      <c r="A1439" s="64">
        <v>1789</v>
      </c>
      <c r="B1439" s="150">
        <v>0.27</v>
      </c>
      <c r="C1439" s="159">
        <v>0.71865443425076447</v>
      </c>
      <c r="D1439" s="152">
        <v>722222222.22222221</v>
      </c>
      <c r="E1439" s="26">
        <f>VLOOKUP(1789,季財報!$A:$H,8,0)</f>
        <v>3</v>
      </c>
      <c r="F1439" s="159">
        <v>3.1391666666666672E-2</v>
      </c>
      <c r="G1439" s="152">
        <v>40083333333.333336</v>
      </c>
      <c r="H1439" s="152">
        <v>3895413000</v>
      </c>
      <c r="I1439" s="150">
        <v>10</v>
      </c>
      <c r="J1439" s="152">
        <v>50</v>
      </c>
    </row>
    <row r="1440" spans="1:10" hidden="1">
      <c r="A1440" s="64">
        <v>1903</v>
      </c>
      <c r="B1440" s="150">
        <v>-0.01</v>
      </c>
      <c r="C1440" s="159">
        <v>1</v>
      </c>
      <c r="D1440" s="152">
        <v>400000000</v>
      </c>
      <c r="E1440" s="26">
        <f>VLOOKUP(1903,季財報!$A:$H,8,0)</f>
        <v>2</v>
      </c>
      <c r="F1440" s="159">
        <v>-0.15996666666666667</v>
      </c>
      <c r="G1440" s="152">
        <v>12240000000</v>
      </c>
      <c r="H1440" s="152">
        <v>237705000</v>
      </c>
      <c r="I1440" s="150">
        <v>10</v>
      </c>
      <c r="J1440" s="152">
        <v>0</v>
      </c>
    </row>
    <row r="1441" spans="1:10" hidden="1">
      <c r="A1441" s="64">
        <v>2231</v>
      </c>
      <c r="B1441" s="150">
        <v>4.63</v>
      </c>
      <c r="C1441" s="159">
        <v>0.88907849829351537</v>
      </c>
      <c r="D1441" s="152">
        <v>72570194.384449244</v>
      </c>
      <c r="E1441" s="26">
        <f>VLOOKUP(2231,季財報!$A:$H,8,0)</f>
        <v>4</v>
      </c>
      <c r="F1441" s="159">
        <v>1.8858333333333335E-2</v>
      </c>
      <c r="G1441" s="152">
        <v>28665226781.857452</v>
      </c>
      <c r="H1441" s="152">
        <v>2781912000</v>
      </c>
      <c r="I1441" s="150">
        <v>10</v>
      </c>
      <c r="J1441" s="152">
        <v>23.989213300555917</v>
      </c>
    </row>
    <row r="1442" spans="1:10" hidden="1">
      <c r="A1442" s="64">
        <v>2363</v>
      </c>
      <c r="B1442" s="150">
        <v>0.17</v>
      </c>
      <c r="C1442" s="159">
        <v>0</v>
      </c>
      <c r="D1442" s="152">
        <v>600000000</v>
      </c>
      <c r="E1442" s="26">
        <f>VLOOKUP(2363,季財報!$A:$H,8,0)</f>
        <v>2</v>
      </c>
      <c r="F1442" s="159">
        <v>1.9775000000000011E-2</v>
      </c>
      <c r="G1442" s="152">
        <v>3948000000</v>
      </c>
      <c r="H1442" s="152">
        <v>232271000</v>
      </c>
      <c r="I1442" s="150">
        <v>10</v>
      </c>
      <c r="J1442" s="152">
        <v>0</v>
      </c>
    </row>
    <row r="1443" spans="1:10" hidden="1">
      <c r="A1443" s="64">
        <v>2424</v>
      </c>
      <c r="B1443" s="150">
        <v>0.49</v>
      </c>
      <c r="C1443" s="159">
        <v>0</v>
      </c>
      <c r="D1443" s="152">
        <v>30612244.897959184</v>
      </c>
      <c r="E1443" s="26">
        <f>VLOOKUP(2424,季財報!$A:$H,8,0)</f>
        <v>0</v>
      </c>
      <c r="F1443" s="159">
        <v>3.8414333333333324</v>
      </c>
      <c r="G1443" s="152">
        <v>880102040.8163265</v>
      </c>
      <c r="H1443" s="152">
        <v>2820000</v>
      </c>
      <c r="I1443" s="150">
        <v>10</v>
      </c>
      <c r="J1443" s="152">
        <v>0</v>
      </c>
    </row>
    <row r="1444" spans="1:10" hidden="1">
      <c r="A1444" s="64">
        <v>2701</v>
      </c>
      <c r="B1444" s="150">
        <v>0.3</v>
      </c>
      <c r="C1444" s="159">
        <v>0.1981981981981982</v>
      </c>
      <c r="D1444" s="152">
        <v>393333333.33333337</v>
      </c>
      <c r="E1444" s="26">
        <f>VLOOKUP(2701,季財報!$A:$H,8,0)</f>
        <v>6</v>
      </c>
      <c r="F1444" s="159">
        <v>8.1166666666666696E-3</v>
      </c>
      <c r="G1444" s="152">
        <v>5506666666.666667</v>
      </c>
      <c r="H1444" s="152">
        <v>397526000</v>
      </c>
      <c r="I1444" s="150">
        <v>10</v>
      </c>
      <c r="J1444" s="152">
        <v>50</v>
      </c>
    </row>
    <row r="1445" spans="1:10" hidden="1">
      <c r="A1445" s="64">
        <v>2706</v>
      </c>
      <c r="B1445" s="155">
        <v>0.38</v>
      </c>
      <c r="C1445" s="159">
        <v>0.19078947368421054</v>
      </c>
      <c r="D1445" s="156">
        <v>415789473.68421054</v>
      </c>
      <c r="E1445" s="26">
        <f>VLOOKUP(2706,季財報!$A:$H,8,0)</f>
        <v>4</v>
      </c>
      <c r="F1445" s="159">
        <v>-3.5416666666666682E-3</v>
      </c>
      <c r="G1445" s="156">
        <v>7775263157.8947372</v>
      </c>
      <c r="H1445" s="156">
        <v>364500000</v>
      </c>
      <c r="I1445" s="155">
        <v>10</v>
      </c>
      <c r="J1445" s="156">
        <v>50</v>
      </c>
    </row>
    <row r="1446" spans="1:10" hidden="1">
      <c r="A1446" s="64">
        <v>2841</v>
      </c>
      <c r="B1446" s="150">
        <v>0.28000000000000003</v>
      </c>
      <c r="C1446" s="159">
        <v>0</v>
      </c>
      <c r="D1446" s="152">
        <v>703571428.57142854</v>
      </c>
      <c r="E1446" s="26">
        <f>VLOOKUP(2841,季財報!$A:$H,8,0)</f>
        <v>1</v>
      </c>
      <c r="F1446" s="159">
        <v>1.0242249999999999</v>
      </c>
      <c r="G1446" s="152">
        <v>7317142857.1428566</v>
      </c>
      <c r="H1446" s="152">
        <v>705433000</v>
      </c>
      <c r="I1446" s="150">
        <v>10</v>
      </c>
      <c r="J1446" s="152">
        <v>0</v>
      </c>
    </row>
    <row r="1447" spans="1:10" hidden="1">
      <c r="A1447" s="64">
        <v>2901</v>
      </c>
      <c r="B1447" s="150">
        <v>0.28999999999999998</v>
      </c>
      <c r="C1447" s="159">
        <v>0.8571428571428571</v>
      </c>
      <c r="D1447" s="152">
        <v>72413793.103448287</v>
      </c>
      <c r="E1447" s="26">
        <f>VLOOKUP(2901,季財報!$A:$H,8,0)</f>
        <v>3</v>
      </c>
      <c r="F1447" s="159">
        <v>7.8641666666666679E-2</v>
      </c>
      <c r="G1447" s="152">
        <v>1940689655.1724141</v>
      </c>
      <c r="H1447" s="152">
        <v>156460000</v>
      </c>
      <c r="I1447" s="150">
        <v>10</v>
      </c>
      <c r="J1447" s="152">
        <v>26.954022988505749</v>
      </c>
    </row>
    <row r="1448" spans="1:10" hidden="1">
      <c r="A1448" s="64">
        <v>3081</v>
      </c>
      <c r="B1448" s="150">
        <v>4.0599999999999996</v>
      </c>
      <c r="C1448" s="159">
        <v>0.96370967741935487</v>
      </c>
      <c r="D1448" s="152">
        <v>68719211.822660103</v>
      </c>
      <c r="E1448" s="26">
        <f>VLOOKUP(3081,季財報!$A:$H,8,0)</f>
        <v>1</v>
      </c>
      <c r="F1448" s="159">
        <v>4.8783333333333324E-2</v>
      </c>
      <c r="G1448" s="152">
        <v>30923645320.197048</v>
      </c>
      <c r="H1448" s="152">
        <v>1943391000</v>
      </c>
      <c r="I1448" s="150">
        <v>10</v>
      </c>
      <c r="J1448" s="152">
        <v>28.75280829400004</v>
      </c>
    </row>
    <row r="1449" spans="1:10" hidden="1">
      <c r="A1449" s="64">
        <v>3176</v>
      </c>
      <c r="B1449" s="150">
        <v>-0.91</v>
      </c>
      <c r="C1449" s="159">
        <v>1</v>
      </c>
      <c r="D1449" s="152">
        <v>139560439.56043956</v>
      </c>
      <c r="E1449" s="26">
        <f>VLOOKUP(3176,季財報!$A:$H,8,0)</f>
        <v>2</v>
      </c>
      <c r="F1449" s="159">
        <v>2.0341666666666661E-2</v>
      </c>
      <c r="G1449" s="152">
        <v>12434835164.835163</v>
      </c>
      <c r="H1449" s="152">
        <v>365379000</v>
      </c>
      <c r="I1449" s="150">
        <v>10</v>
      </c>
      <c r="J1449" s="152">
        <v>0</v>
      </c>
    </row>
    <row r="1450" spans="1:10" hidden="1">
      <c r="A1450" s="64">
        <v>3529</v>
      </c>
      <c r="B1450" s="150">
        <v>1.4</v>
      </c>
      <c r="C1450" s="159">
        <v>0.90677966101694918</v>
      </c>
      <c r="D1450" s="152">
        <v>75714285.714285716</v>
      </c>
      <c r="E1450" s="26">
        <f>VLOOKUP(3529,季財報!$A:$H,8,0)</f>
        <v>2</v>
      </c>
      <c r="F1450" s="159">
        <v>2.3862000000000001</v>
      </c>
      <c r="G1450" s="152">
        <v>27862857142.857143</v>
      </c>
      <c r="H1450" s="152">
        <v>1083252000</v>
      </c>
      <c r="I1450" s="150">
        <v>10</v>
      </c>
      <c r="J1450" s="152">
        <v>50</v>
      </c>
    </row>
    <row r="1451" spans="1:10" hidden="1">
      <c r="A1451" s="64">
        <v>3658</v>
      </c>
      <c r="B1451" s="150">
        <v>6.64</v>
      </c>
      <c r="C1451" s="159">
        <v>0.76704055220017253</v>
      </c>
      <c r="D1451" s="152">
        <v>70933734.939759046</v>
      </c>
      <c r="E1451" s="26">
        <f>VLOOKUP(3658,季財報!$A:$H,8,0)</f>
        <v>2</v>
      </c>
      <c r="F1451" s="159">
        <v>2.4533499999999999</v>
      </c>
      <c r="G1451" s="152">
        <v>84765813253.012054</v>
      </c>
      <c r="H1451" s="152">
        <v>7161413000</v>
      </c>
      <c r="I1451" s="150">
        <v>10</v>
      </c>
      <c r="J1451" s="152">
        <v>50</v>
      </c>
    </row>
    <row r="1452" spans="1:10" hidden="1">
      <c r="A1452" s="64">
        <v>4108</v>
      </c>
      <c r="B1452" s="52">
        <v>-0.22</v>
      </c>
      <c r="C1452" s="160">
        <v>1</v>
      </c>
      <c r="D1452" s="157">
        <v>163636363.63636363</v>
      </c>
      <c r="E1452" s="26">
        <f>VLOOKUP(4108,季財報!$A:$H,8,0)</f>
        <v>4</v>
      </c>
      <c r="F1452" s="160">
        <v>-3.6208333333333335E-2</v>
      </c>
      <c r="G1452" s="54">
        <v>4557272727.272727</v>
      </c>
      <c r="H1452" s="54">
        <v>20461000</v>
      </c>
      <c r="I1452" s="65">
        <v>10</v>
      </c>
      <c r="J1452" s="162">
        <v>0</v>
      </c>
    </row>
    <row r="1453" spans="1:10" hidden="1">
      <c r="A1453" s="64">
        <v>4130</v>
      </c>
      <c r="B1453" s="52">
        <v>0.16</v>
      </c>
      <c r="C1453" s="160">
        <v>1</v>
      </c>
      <c r="D1453" s="157">
        <v>100000000</v>
      </c>
      <c r="E1453" s="26">
        <f>VLOOKUP(4130,季財報!$A:$H,8,0)</f>
        <v>3</v>
      </c>
      <c r="F1453" s="160">
        <v>3.8274999999999997E-2</v>
      </c>
      <c r="G1453" s="54">
        <v>6000000000</v>
      </c>
      <c r="H1453" s="54">
        <v>466350000</v>
      </c>
      <c r="I1453" s="65">
        <v>10</v>
      </c>
      <c r="J1453" s="162">
        <v>50</v>
      </c>
    </row>
    <row r="1454" spans="1:10" hidden="1">
      <c r="A1454" s="64">
        <v>4131</v>
      </c>
      <c r="B1454" s="52">
        <v>-0.12</v>
      </c>
      <c r="C1454" s="160">
        <v>1</v>
      </c>
      <c r="D1454" s="157">
        <v>33333333.333333336</v>
      </c>
      <c r="E1454" s="26">
        <f>VLOOKUP(4131,季財報!$A:$H,8,0)</f>
        <v>2</v>
      </c>
      <c r="F1454" s="160">
        <v>0.30585000000000007</v>
      </c>
      <c r="G1454" s="54">
        <v>330000000.00000006</v>
      </c>
      <c r="H1454" s="54">
        <v>21061000</v>
      </c>
      <c r="I1454" s="65">
        <v>10</v>
      </c>
      <c r="J1454" s="162">
        <v>0</v>
      </c>
    </row>
    <row r="1455" spans="1:10" hidden="1">
      <c r="A1455" s="64">
        <v>4142</v>
      </c>
      <c r="B1455" s="52">
        <v>-0.81</v>
      </c>
      <c r="C1455" s="160">
        <v>1</v>
      </c>
      <c r="D1455" s="157">
        <v>235802469.13580245</v>
      </c>
      <c r="E1455" s="26">
        <f>VLOOKUP(4142,季財報!$A:$H,8,0)</f>
        <v>2</v>
      </c>
      <c r="F1455" s="160">
        <v>2.099675</v>
      </c>
      <c r="G1455" s="54">
        <v>6012962962.9629622</v>
      </c>
      <c r="H1455" s="54">
        <v>298672000</v>
      </c>
      <c r="I1455" s="65">
        <v>10</v>
      </c>
      <c r="J1455" s="162">
        <v>0</v>
      </c>
    </row>
    <row r="1456" spans="1:10" hidden="1">
      <c r="A1456" s="64">
        <v>4152</v>
      </c>
      <c r="B1456" s="52">
        <v>-3.37</v>
      </c>
      <c r="C1456" s="160">
        <v>1</v>
      </c>
      <c r="D1456" s="157">
        <v>55192878.338278927</v>
      </c>
      <c r="E1456" s="26">
        <f>VLOOKUP(4152,季財報!$A:$H,8,0)</f>
        <v>1</v>
      </c>
      <c r="F1456" s="160">
        <v>0.38901666666666662</v>
      </c>
      <c r="G1456" s="54">
        <v>8278931750.7418394</v>
      </c>
      <c r="H1456" s="54">
        <v>59308000</v>
      </c>
      <c r="I1456" s="65">
        <v>10</v>
      </c>
      <c r="J1456" s="162">
        <v>0</v>
      </c>
    </row>
    <row r="1457" spans="1:10" hidden="1">
      <c r="A1457" s="64">
        <v>4157</v>
      </c>
      <c r="B1457" s="52">
        <v>-0.15</v>
      </c>
      <c r="C1457" s="160">
        <v>1</v>
      </c>
      <c r="D1457" s="157">
        <v>673333333.33333337</v>
      </c>
      <c r="E1457" s="26">
        <f>VLOOKUP(4157,季財報!$A:$H,8,0)</f>
        <v>3</v>
      </c>
      <c r="F1457" s="160">
        <v>1.1433333333333332E-2</v>
      </c>
      <c r="G1457" s="54">
        <v>24139000000.000004</v>
      </c>
      <c r="H1457" s="54">
        <v>79054000</v>
      </c>
      <c r="I1457" s="65">
        <v>10</v>
      </c>
      <c r="J1457" s="162">
        <v>0</v>
      </c>
    </row>
    <row r="1458" spans="1:10" hidden="1">
      <c r="A1458" s="64">
        <v>4162</v>
      </c>
      <c r="B1458" s="52">
        <v>0.34</v>
      </c>
      <c r="C1458" s="160">
        <v>0.85152838427947597</v>
      </c>
      <c r="D1458" s="157">
        <v>102941176.47058822</v>
      </c>
      <c r="E1458" s="26">
        <f>VLOOKUP(4162,季財報!$A:$H,8,0)</f>
        <v>4</v>
      </c>
      <c r="F1458" s="160">
        <v>54.358599999999996</v>
      </c>
      <c r="G1458" s="54">
        <v>27845588235.294113</v>
      </c>
      <c r="H1458" s="54">
        <v>508468000</v>
      </c>
      <c r="I1458" s="65">
        <v>10</v>
      </c>
      <c r="J1458" s="162">
        <v>50</v>
      </c>
    </row>
    <row r="1459" spans="1:10" hidden="1">
      <c r="A1459" s="64">
        <v>4168</v>
      </c>
      <c r="B1459" s="52">
        <v>-0.27</v>
      </c>
      <c r="C1459" s="160">
        <v>1</v>
      </c>
      <c r="D1459" s="157">
        <v>74074074.074074075</v>
      </c>
      <c r="E1459" s="26">
        <f>VLOOKUP(4168,季財報!$A:$H,8,0)</f>
        <v>1</v>
      </c>
      <c r="F1459" s="160">
        <v>6.380441666666667</v>
      </c>
      <c r="G1459" s="54">
        <v>4311111111.1111116</v>
      </c>
      <c r="H1459" s="54">
        <v>14778000</v>
      </c>
      <c r="I1459" s="65">
        <v>10</v>
      </c>
      <c r="J1459" s="162">
        <v>0</v>
      </c>
    </row>
    <row r="1460" spans="1:10" hidden="1">
      <c r="A1460" s="64">
        <v>4180</v>
      </c>
      <c r="B1460" s="52">
        <v>-0.64</v>
      </c>
      <c r="C1460" s="160">
        <v>0</v>
      </c>
      <c r="D1460" s="157">
        <v>112500000</v>
      </c>
      <c r="E1460" s="26">
        <f>VLOOKUP(4180,季財報!$A:$H,8,0)</f>
        <v>2</v>
      </c>
      <c r="F1460" s="160">
        <v>0.12049166666666666</v>
      </c>
      <c r="G1460" s="54">
        <v>22275000000</v>
      </c>
      <c r="H1460" s="54">
        <v>436346000</v>
      </c>
      <c r="I1460" s="65">
        <v>10</v>
      </c>
      <c r="J1460" s="162">
        <v>0</v>
      </c>
    </row>
    <row r="1461" spans="1:10" hidden="1">
      <c r="A1461" s="64">
        <v>4188</v>
      </c>
      <c r="B1461" s="52">
        <v>-0.35</v>
      </c>
      <c r="C1461" s="160">
        <v>1</v>
      </c>
      <c r="D1461" s="157">
        <v>40000000</v>
      </c>
      <c r="E1461" s="26">
        <f>VLOOKUP(4188,季財報!$A:$H,8,0)</f>
        <v>2</v>
      </c>
      <c r="F1461" s="160">
        <v>6.9891666666666671E-2</v>
      </c>
      <c r="G1461" s="54">
        <v>1158000000</v>
      </c>
      <c r="H1461" s="54">
        <v>88000</v>
      </c>
      <c r="I1461" s="65">
        <v>10</v>
      </c>
      <c r="J1461" s="162">
        <v>0</v>
      </c>
    </row>
    <row r="1462" spans="1:10" hidden="1">
      <c r="A1462" s="64">
        <v>4190</v>
      </c>
      <c r="B1462" s="52">
        <v>1.72</v>
      </c>
      <c r="C1462" s="160">
        <v>0.90374331550802134</v>
      </c>
      <c r="D1462" s="157">
        <v>51744186.046511628</v>
      </c>
      <c r="E1462" s="26">
        <f>VLOOKUP(4190,季財報!$A:$H,8,0)</f>
        <v>2</v>
      </c>
      <c r="F1462" s="160">
        <v>-8.8916666666666658E-2</v>
      </c>
      <c r="G1462" s="54">
        <v>7477034883.7209301</v>
      </c>
      <c r="H1462" s="54">
        <v>481740000</v>
      </c>
      <c r="I1462" s="65">
        <v>10</v>
      </c>
      <c r="J1462" s="162">
        <v>23.239902986101558</v>
      </c>
    </row>
    <row r="1463" spans="1:10" hidden="1">
      <c r="A1463" s="64">
        <v>4192</v>
      </c>
      <c r="B1463" s="52">
        <v>-1.22</v>
      </c>
      <c r="C1463" s="160">
        <v>0.97560975609756095</v>
      </c>
      <c r="D1463" s="157">
        <v>58196721.311475411</v>
      </c>
      <c r="E1463" s="26">
        <f>VLOOKUP(4192,季財報!$A:$H,8,0)</f>
        <v>2</v>
      </c>
      <c r="F1463" s="160">
        <v>1.57955</v>
      </c>
      <c r="G1463" s="54">
        <v>2647950819.6721311</v>
      </c>
      <c r="H1463" s="54">
        <v>15205000</v>
      </c>
      <c r="I1463" s="65">
        <v>10</v>
      </c>
      <c r="J1463" s="162">
        <v>0</v>
      </c>
    </row>
    <row r="1464" spans="1:10" hidden="1">
      <c r="A1464" s="64">
        <v>4529</v>
      </c>
      <c r="B1464" s="52">
        <v>-0.39</v>
      </c>
      <c r="C1464" s="160">
        <v>1</v>
      </c>
      <c r="D1464" s="157">
        <v>76923076.923076928</v>
      </c>
      <c r="E1464" s="26">
        <f>VLOOKUP(4529,季財報!$A:$H,8,0)</f>
        <v>4</v>
      </c>
      <c r="F1464" s="160">
        <v>0.1001666666666667</v>
      </c>
      <c r="G1464" s="54">
        <v>3384615384.6153851</v>
      </c>
      <c r="H1464" s="54">
        <v>8468000</v>
      </c>
      <c r="I1464" s="65">
        <v>10</v>
      </c>
      <c r="J1464" s="162">
        <v>0</v>
      </c>
    </row>
    <row r="1465" spans="1:10" hidden="1">
      <c r="A1465" s="64">
        <v>4726</v>
      </c>
      <c r="B1465" s="52">
        <v>-0.04</v>
      </c>
      <c r="C1465" s="160">
        <v>1</v>
      </c>
      <c r="D1465" s="157">
        <v>100000000</v>
      </c>
      <c r="E1465" s="26">
        <f>VLOOKUP(4726,季財報!$A:$H,8,0)</f>
        <v>3</v>
      </c>
      <c r="F1465" s="160">
        <v>0.4449583333333334</v>
      </c>
      <c r="G1465" s="54">
        <v>5180000000</v>
      </c>
      <c r="H1465" s="54">
        <v>128769000</v>
      </c>
      <c r="I1465" s="65">
        <v>10</v>
      </c>
      <c r="J1465" s="162">
        <v>0</v>
      </c>
    </row>
    <row r="1466" spans="1:10" hidden="1">
      <c r="A1466" s="64">
        <v>4728</v>
      </c>
      <c r="B1466" s="52">
        <v>-0.17</v>
      </c>
      <c r="C1466" s="160">
        <v>1</v>
      </c>
      <c r="D1466" s="157">
        <v>52941176.47058823</v>
      </c>
      <c r="E1466" s="26">
        <f>VLOOKUP(4728,季財報!$A:$H,8,0)</f>
        <v>4</v>
      </c>
      <c r="F1466" s="160">
        <v>0.21992500000000004</v>
      </c>
      <c r="G1466" s="54">
        <v>1723235294.1176467</v>
      </c>
      <c r="H1466" s="54">
        <v>133405000</v>
      </c>
      <c r="I1466" s="65">
        <v>10</v>
      </c>
      <c r="J1466" s="162">
        <v>0</v>
      </c>
    </row>
    <row r="1467" spans="1:10" hidden="1">
      <c r="A1467" s="64">
        <v>4743</v>
      </c>
      <c r="B1467" s="52">
        <v>-0.1</v>
      </c>
      <c r="C1467" s="160">
        <v>1</v>
      </c>
      <c r="D1467" s="157">
        <v>190000000</v>
      </c>
      <c r="E1467" s="26">
        <f>VLOOKUP(4743,季財報!$A:$H,8,0)</f>
        <v>1</v>
      </c>
      <c r="F1467" s="160">
        <v>1.0612166666666667</v>
      </c>
      <c r="G1467" s="54">
        <v>7543000000.000001</v>
      </c>
      <c r="H1467" s="54">
        <v>8202000</v>
      </c>
      <c r="I1467" s="65">
        <v>10</v>
      </c>
      <c r="J1467" s="162">
        <v>0</v>
      </c>
    </row>
    <row r="1468" spans="1:10" hidden="1">
      <c r="A1468" s="64">
        <v>4905</v>
      </c>
      <c r="B1468" s="52">
        <v>1.01</v>
      </c>
      <c r="C1468" s="160">
        <v>0</v>
      </c>
      <c r="D1468" s="157">
        <v>51485148.514851488</v>
      </c>
      <c r="E1468" s="26">
        <f>VLOOKUP(4905,季財報!$A:$H,8,0)</f>
        <v>4</v>
      </c>
      <c r="F1468" s="160">
        <v>0.21073333333333336</v>
      </c>
      <c r="G1468" s="54">
        <v>2255049504.9504952</v>
      </c>
      <c r="H1468" s="54">
        <v>139106000</v>
      </c>
      <c r="I1468" s="65">
        <v>10</v>
      </c>
      <c r="J1468" s="162">
        <v>0</v>
      </c>
    </row>
    <row r="1469" spans="1:10" hidden="1">
      <c r="A1469" s="64">
        <v>4911</v>
      </c>
      <c r="B1469" s="52">
        <v>-0.04</v>
      </c>
      <c r="C1469" s="160">
        <v>1</v>
      </c>
      <c r="D1469" s="157">
        <v>50000000</v>
      </c>
      <c r="E1469" s="26">
        <f>VLOOKUP(4911,季財報!$A:$H,8,0)</f>
        <v>1</v>
      </c>
      <c r="F1469" s="160">
        <v>0.16498333333333334</v>
      </c>
      <c r="G1469" s="54">
        <v>4225000000</v>
      </c>
      <c r="H1469" s="54">
        <v>47892000</v>
      </c>
      <c r="I1469" s="65">
        <v>10</v>
      </c>
      <c r="J1469" s="162">
        <v>0</v>
      </c>
    </row>
    <row r="1470" spans="1:10" hidden="1">
      <c r="A1470" s="64">
        <v>5263</v>
      </c>
      <c r="B1470" s="52">
        <v>1.51</v>
      </c>
      <c r="C1470" s="160">
        <v>0.67619047619047623</v>
      </c>
      <c r="D1470" s="157">
        <v>43708609.271523178</v>
      </c>
      <c r="E1470" s="26">
        <f>VLOOKUP(5263,季財報!$A:$H,8,0)</f>
        <v>3</v>
      </c>
      <c r="F1470" s="160">
        <v>7.4408333333333326E-2</v>
      </c>
      <c r="G1470" s="54">
        <v>15298013245.033112</v>
      </c>
      <c r="H1470" s="54">
        <v>670327000</v>
      </c>
      <c r="I1470" s="65">
        <v>10</v>
      </c>
      <c r="J1470" s="162">
        <v>50</v>
      </c>
    </row>
    <row r="1471" spans="1:10" hidden="1">
      <c r="A1471" s="64">
        <v>5274</v>
      </c>
      <c r="B1471" s="52">
        <v>3.71</v>
      </c>
      <c r="C1471" s="160">
        <v>0.8651685393258427</v>
      </c>
      <c r="D1471" s="157">
        <v>31536388.140161727</v>
      </c>
      <c r="E1471" s="26">
        <f>VLOOKUP(5274,季財報!$A:$H,8,0)</f>
        <v>6</v>
      </c>
      <c r="F1471" s="160">
        <v>1.5291666666666663E-2</v>
      </c>
      <c r="G1471" s="54">
        <v>10659299191.374664</v>
      </c>
      <c r="H1471" s="54">
        <v>990213000</v>
      </c>
      <c r="I1471" s="65">
        <v>10</v>
      </c>
      <c r="J1471" s="162">
        <v>26.325830503728078</v>
      </c>
    </row>
    <row r="1472" spans="1:10" hidden="1">
      <c r="A1472" s="64">
        <v>5455</v>
      </c>
      <c r="B1472" s="52">
        <v>-0.32</v>
      </c>
      <c r="C1472" s="160">
        <v>1</v>
      </c>
      <c r="D1472" s="157">
        <v>34375000</v>
      </c>
      <c r="E1472" s="26">
        <f>VLOOKUP(5455,季財報!$A:$H,8,0)</f>
        <v>0</v>
      </c>
      <c r="F1472" s="160">
        <v>0.27979166666666666</v>
      </c>
      <c r="G1472" s="54">
        <v>239937500</v>
      </c>
      <c r="H1472" s="54">
        <v>21912000</v>
      </c>
      <c r="I1472" s="65">
        <v>10</v>
      </c>
      <c r="J1472" s="162">
        <v>0</v>
      </c>
    </row>
    <row r="1473" spans="1:10" hidden="1">
      <c r="A1473" s="64">
        <v>5481</v>
      </c>
      <c r="B1473" s="52">
        <v>-0.26</v>
      </c>
      <c r="C1473" s="160">
        <v>0.69620253164556967</v>
      </c>
      <c r="D1473" s="157">
        <v>100000000</v>
      </c>
      <c r="E1473" s="26">
        <f>VLOOKUP(5481,季財報!$A:$H,8,0)</f>
        <v>1</v>
      </c>
      <c r="F1473" s="160">
        <v>-0.29258333333333336</v>
      </c>
      <c r="G1473" s="54">
        <v>1620000000</v>
      </c>
      <c r="H1473" s="54">
        <v>92102000</v>
      </c>
      <c r="I1473" s="65">
        <v>10</v>
      </c>
      <c r="J1473" s="162">
        <v>0</v>
      </c>
    </row>
    <row r="1474" spans="1:10" hidden="1">
      <c r="A1474" s="64">
        <v>5514</v>
      </c>
      <c r="B1474" s="52">
        <v>-0.21</v>
      </c>
      <c r="C1474" s="160">
        <v>0.32692307692307693</v>
      </c>
      <c r="D1474" s="157">
        <v>166666666.66666669</v>
      </c>
      <c r="E1474" s="26">
        <f>VLOOKUP(5514,季財報!$A:$H,8,0)</f>
        <v>1</v>
      </c>
      <c r="F1474" s="160">
        <v>-5.0641666666666675E-2</v>
      </c>
      <c r="G1474" s="54">
        <v>1555000000.0000002</v>
      </c>
      <c r="H1474" s="54">
        <v>56167000</v>
      </c>
      <c r="I1474" s="65">
        <v>10</v>
      </c>
      <c r="J1474" s="162">
        <v>0</v>
      </c>
    </row>
    <row r="1475" spans="1:10" hidden="1">
      <c r="A1475" s="64">
        <v>5529</v>
      </c>
      <c r="B1475" s="52">
        <v>-0.24</v>
      </c>
      <c r="C1475" s="160">
        <v>0.86046511627906974</v>
      </c>
      <c r="D1475" s="157">
        <v>104166666.66666667</v>
      </c>
      <c r="E1475" s="26">
        <f>VLOOKUP(5529,季財報!$A:$H,8,0)</f>
        <v>0</v>
      </c>
      <c r="F1475" s="160">
        <v>2.4466166666666664</v>
      </c>
      <c r="G1475" s="54">
        <v>843750000</v>
      </c>
      <c r="H1475" s="54">
        <v>20944000</v>
      </c>
      <c r="I1475" s="65">
        <v>10</v>
      </c>
      <c r="J1475" s="162">
        <v>0</v>
      </c>
    </row>
    <row r="1476" spans="1:10" hidden="1">
      <c r="A1476" s="64">
        <v>5601</v>
      </c>
      <c r="B1476" s="52">
        <v>0.09</v>
      </c>
      <c r="C1476" s="160">
        <v>1</v>
      </c>
      <c r="D1476" s="157">
        <v>66666666.666666672</v>
      </c>
      <c r="E1476" s="26">
        <f>VLOOKUP(5601,季財報!$A:$H,8,0)</f>
        <v>4</v>
      </c>
      <c r="F1476" s="160">
        <v>-1.4833333333333328E-3</v>
      </c>
      <c r="G1476" s="54">
        <v>1726666666.6666667</v>
      </c>
      <c r="H1476" s="54">
        <v>75298000</v>
      </c>
      <c r="I1476" s="65">
        <v>10</v>
      </c>
      <c r="J1476" s="162">
        <v>50</v>
      </c>
    </row>
    <row r="1477" spans="1:10" hidden="1">
      <c r="A1477" s="64">
        <v>6171</v>
      </c>
      <c r="B1477" s="52">
        <v>-7.0000000000000007E-2</v>
      </c>
      <c r="C1477" s="160">
        <v>1</v>
      </c>
      <c r="D1477" s="157">
        <v>85714285.714285702</v>
      </c>
      <c r="E1477" s="26">
        <f>VLOOKUP(6171,季財報!$A:$H,8,0)</f>
        <v>4</v>
      </c>
      <c r="F1477" s="160">
        <v>476.767875</v>
      </c>
      <c r="G1477" s="54">
        <v>1109999999.9999998</v>
      </c>
      <c r="H1477" s="54">
        <v>80279000</v>
      </c>
      <c r="I1477" s="65">
        <v>10</v>
      </c>
      <c r="J1477" s="162">
        <v>0</v>
      </c>
    </row>
    <row r="1478" spans="1:10" hidden="1">
      <c r="A1478" s="64">
        <v>6264</v>
      </c>
      <c r="B1478" s="52">
        <v>-0.23</v>
      </c>
      <c r="C1478" s="160">
        <v>0.83050847457627119</v>
      </c>
      <c r="D1478" s="157">
        <v>139130434.78260869</v>
      </c>
      <c r="E1478" s="26">
        <f>VLOOKUP(6264,季財報!$A:$H,8,0)</f>
        <v>1</v>
      </c>
      <c r="F1478" s="160">
        <v>4.091733333333333</v>
      </c>
      <c r="G1478" s="54">
        <v>813913043.47826076</v>
      </c>
      <c r="H1478" s="54">
        <v>230804000</v>
      </c>
      <c r="I1478" s="65">
        <v>10</v>
      </c>
      <c r="J1478" s="162">
        <v>0</v>
      </c>
    </row>
    <row r="1479" spans="1:10" hidden="1">
      <c r="A1479" s="64">
        <v>8038</v>
      </c>
      <c r="B1479" s="52">
        <v>-0.02</v>
      </c>
      <c r="C1479" s="160">
        <v>1</v>
      </c>
      <c r="D1479" s="157">
        <v>50000000</v>
      </c>
      <c r="E1479" s="26">
        <f>VLOOKUP(8038,季財報!$A:$H,8,0)</f>
        <v>1</v>
      </c>
      <c r="F1479" s="160">
        <v>0.32196666666666668</v>
      </c>
      <c r="G1479" s="54">
        <v>2382500000</v>
      </c>
      <c r="H1479" s="54">
        <v>67996000</v>
      </c>
      <c r="I1479" s="65">
        <v>10</v>
      </c>
      <c r="J1479" s="162">
        <v>0</v>
      </c>
    </row>
    <row r="1480" spans="1:10" hidden="1">
      <c r="A1480" s="64">
        <v>8082</v>
      </c>
      <c r="B1480" s="52">
        <v>-0.03</v>
      </c>
      <c r="C1480" s="160">
        <v>0.36</v>
      </c>
      <c r="D1480" s="157">
        <v>100000000</v>
      </c>
      <c r="E1480" s="26">
        <f>VLOOKUP(8082,季財報!$A:$H,8,0)</f>
        <v>1</v>
      </c>
      <c r="F1480" s="160">
        <v>5.4108333333333314E-2</v>
      </c>
      <c r="G1480" s="54">
        <v>247000000.00000003</v>
      </c>
      <c r="H1480" s="54">
        <v>4614000</v>
      </c>
      <c r="I1480" s="65">
        <v>10</v>
      </c>
      <c r="J1480" s="162">
        <v>0</v>
      </c>
    </row>
    <row r="1481" spans="1:10" hidden="1">
      <c r="A1481" s="64">
        <v>8913</v>
      </c>
      <c r="B1481" s="52">
        <v>0.19</v>
      </c>
      <c r="C1481" s="160">
        <v>0.4</v>
      </c>
      <c r="D1481" s="157">
        <v>52631578.947368421</v>
      </c>
      <c r="E1481" s="26">
        <f>VLOOKUP(8913,季財報!$A:$H,8,0)</f>
        <v>6</v>
      </c>
      <c r="F1481" s="160">
        <v>1.6083333333333335E-2</v>
      </c>
      <c r="G1481" s="54">
        <v>792105263.15789473</v>
      </c>
      <c r="H1481" s="54">
        <v>71177000</v>
      </c>
      <c r="I1481" s="65">
        <v>10</v>
      </c>
      <c r="J1481" s="162">
        <v>49.506578947368418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greaterThan" val="8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59" activePane="bottomRight" state="frozen"/>
      <selection pane="topRight" activeCell="H1" sqref="H1"/>
      <selection pane="bottomLeft" activeCell="A2" sqref="A2"/>
      <selection pane="bottomRight" activeCell="K80" sqref="K80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256</v>
      </c>
      <c r="B1" t="s">
        <v>257</v>
      </c>
      <c r="C1" s="85">
        <v>42240</v>
      </c>
      <c r="D1" s="85">
        <v>42366</v>
      </c>
      <c r="E1" t="s">
        <v>1865</v>
      </c>
      <c r="F1" t="s">
        <v>1894</v>
      </c>
    </row>
    <row r="2" spans="1:6">
      <c r="A2">
        <v>4502</v>
      </c>
      <c r="B2" t="s">
        <v>1597</v>
      </c>
      <c r="C2">
        <v>5.8</v>
      </c>
      <c r="D2">
        <f>VLOOKUP(A2,收盤價!A:C,3,0)</f>
        <v>29.5</v>
      </c>
      <c r="E2" s="163">
        <v>4.0862068965517242</v>
      </c>
      <c r="F2">
        <v>99.87</v>
      </c>
    </row>
    <row r="3" spans="1:6">
      <c r="A3">
        <v>4529</v>
      </c>
      <c r="B3" t="s">
        <v>1603</v>
      </c>
      <c r="C3">
        <v>10.65</v>
      </c>
      <c r="D3">
        <f>VLOOKUP(A3,收盤價!A:C,3,0)</f>
        <v>45.3</v>
      </c>
      <c r="E3" s="163">
        <v>3.253521126760563</v>
      </c>
      <c r="F3">
        <v>99.81</v>
      </c>
    </row>
    <row r="4" spans="1:6">
      <c r="A4">
        <v>8105</v>
      </c>
      <c r="B4" t="s">
        <v>1345</v>
      </c>
      <c r="C4">
        <v>5.85</v>
      </c>
      <c r="D4">
        <f>VLOOKUP(A4,收盤價!A:C,3,0)</f>
        <v>19</v>
      </c>
      <c r="E4" s="163">
        <v>2.2478632478632479</v>
      </c>
      <c r="F4">
        <v>99.75</v>
      </c>
    </row>
    <row r="5" spans="1:6">
      <c r="A5">
        <v>6238</v>
      </c>
      <c r="B5" t="s">
        <v>1752</v>
      </c>
      <c r="C5">
        <v>57.7</v>
      </c>
      <c r="D5">
        <f>VLOOKUP(A5,收盤價!A:C,3,0)</f>
        <v>177.5</v>
      </c>
      <c r="E5" s="163">
        <v>2.0762564991334487</v>
      </c>
      <c r="F5">
        <v>99.68</v>
      </c>
    </row>
    <row r="6" spans="1:6">
      <c r="A6">
        <v>3049</v>
      </c>
      <c r="B6" t="s">
        <v>1085</v>
      </c>
      <c r="C6">
        <v>2.63</v>
      </c>
      <c r="D6">
        <f>VLOOKUP(A6,收盤價!A:C,3,0)</f>
        <v>7.94</v>
      </c>
      <c r="E6" s="163">
        <v>2.0190114068441067</v>
      </c>
      <c r="F6">
        <v>99.62</v>
      </c>
    </row>
    <row r="7" spans="1:6">
      <c r="A7">
        <v>3555</v>
      </c>
      <c r="B7" t="s">
        <v>1536</v>
      </c>
      <c r="C7">
        <v>3.97</v>
      </c>
      <c r="D7">
        <f>VLOOKUP(A7,收盤價!A:C,3,0)</f>
        <v>11.65</v>
      </c>
      <c r="E7" s="163">
        <v>1.9345088161209065</v>
      </c>
      <c r="F7">
        <v>99.56</v>
      </c>
    </row>
    <row r="8" spans="1:6">
      <c r="A8">
        <v>3205</v>
      </c>
      <c r="B8" t="s">
        <v>297</v>
      </c>
      <c r="C8">
        <v>96.3</v>
      </c>
      <c r="D8">
        <f>VLOOKUP(A8,收盤價!A:C,3,0)</f>
        <v>278.5</v>
      </c>
      <c r="E8" s="163">
        <v>1.8920041536863965</v>
      </c>
      <c r="F8">
        <v>99.5</v>
      </c>
    </row>
    <row r="9" spans="1:6">
      <c r="A9">
        <v>6169</v>
      </c>
      <c r="B9" t="s">
        <v>1732</v>
      </c>
      <c r="C9">
        <v>11</v>
      </c>
      <c r="D9">
        <f>VLOOKUP(A9,收盤價!A:C,3,0)</f>
        <v>30.05</v>
      </c>
      <c r="E9" s="163">
        <v>1.7318181818181819</v>
      </c>
      <c r="F9">
        <v>99.43</v>
      </c>
    </row>
    <row r="10" spans="1:6">
      <c r="A10">
        <v>6201</v>
      </c>
      <c r="B10" t="s">
        <v>1434</v>
      </c>
      <c r="C10">
        <v>9.25</v>
      </c>
      <c r="D10">
        <f>VLOOKUP(A10,收盤價!A:C,3,0)</f>
        <v>25</v>
      </c>
      <c r="E10" s="163">
        <v>1.7027027027027026</v>
      </c>
      <c r="F10">
        <v>99.37</v>
      </c>
    </row>
    <row r="11" spans="1:6">
      <c r="A11">
        <v>3324</v>
      </c>
      <c r="B11" t="s">
        <v>1506</v>
      </c>
      <c r="C11">
        <v>14.85</v>
      </c>
      <c r="D11">
        <f>VLOOKUP(A11,收盤價!A:C,3,0)</f>
        <v>39.950000000000003</v>
      </c>
      <c r="E11" s="163">
        <v>1.6902356902356903</v>
      </c>
      <c r="F11">
        <v>99.31</v>
      </c>
    </row>
    <row r="12" spans="1:6">
      <c r="A12">
        <v>6230</v>
      </c>
      <c r="B12" t="s">
        <v>1301</v>
      </c>
      <c r="C12">
        <v>45.4</v>
      </c>
      <c r="D12">
        <f>VLOOKUP(A12,收盤價!A:C,3,0)</f>
        <v>120.5</v>
      </c>
      <c r="E12" s="163">
        <v>1.6541850220264316</v>
      </c>
      <c r="F12">
        <v>99.24</v>
      </c>
    </row>
    <row r="13" spans="1:6">
      <c r="A13">
        <v>3514</v>
      </c>
      <c r="B13" t="s">
        <v>1134</v>
      </c>
      <c r="C13">
        <v>12</v>
      </c>
      <c r="D13">
        <f>VLOOKUP(A13,收盤價!A:C,3,0)</f>
        <v>31.15</v>
      </c>
      <c r="E13" s="163">
        <v>1.5958333333333332</v>
      </c>
      <c r="F13">
        <v>99.18</v>
      </c>
    </row>
    <row r="14" spans="1:6">
      <c r="A14">
        <v>6158</v>
      </c>
      <c r="B14" t="s">
        <v>457</v>
      </c>
      <c r="C14">
        <v>6.8</v>
      </c>
      <c r="D14">
        <f>VLOOKUP(A14,收盤價!A:C,3,0)</f>
        <v>17.649999999999999</v>
      </c>
      <c r="E14" s="163">
        <v>1.5955882352941173</v>
      </c>
      <c r="F14">
        <v>99.12</v>
      </c>
    </row>
    <row r="15" spans="1:6">
      <c r="A15">
        <v>2406</v>
      </c>
      <c r="B15" t="s">
        <v>865</v>
      </c>
      <c r="C15">
        <v>14.2</v>
      </c>
      <c r="D15">
        <f>VLOOKUP(A15,收盤價!A:C,3,0)</f>
        <v>36.25</v>
      </c>
      <c r="E15" s="163">
        <v>1.5528169014084507</v>
      </c>
      <c r="F15">
        <v>99.05</v>
      </c>
    </row>
    <row r="16" spans="1:6">
      <c r="A16">
        <v>2345</v>
      </c>
      <c r="B16" t="s">
        <v>820</v>
      </c>
      <c r="C16">
        <v>12.85</v>
      </c>
      <c r="D16">
        <f>VLOOKUP(A16,收盤價!A:C,3,0)</f>
        <v>31.8</v>
      </c>
      <c r="E16" s="163">
        <v>1.474708171206226</v>
      </c>
      <c r="F16">
        <v>98.99</v>
      </c>
    </row>
    <row r="17" spans="1:6">
      <c r="A17">
        <v>4174</v>
      </c>
      <c r="B17" t="s">
        <v>373</v>
      </c>
      <c r="C17">
        <v>262</v>
      </c>
      <c r="D17">
        <f>VLOOKUP(A17,收盤價!A:C,3,0)</f>
        <v>642</v>
      </c>
      <c r="E17" s="163">
        <v>1.4503816793893129</v>
      </c>
      <c r="F17">
        <v>98.93</v>
      </c>
    </row>
    <row r="18" spans="1:6">
      <c r="A18">
        <v>6452</v>
      </c>
      <c r="B18" t="s">
        <v>1328</v>
      </c>
      <c r="C18">
        <v>148</v>
      </c>
      <c r="D18">
        <f>VLOOKUP(A18,收盤價!A:C,3,0)</f>
        <v>358.5</v>
      </c>
      <c r="E18" s="163">
        <v>1.4222972972972974</v>
      </c>
      <c r="F18">
        <v>98.86</v>
      </c>
    </row>
    <row r="19" spans="1:6">
      <c r="A19">
        <v>8916</v>
      </c>
      <c r="B19" t="s">
        <v>525</v>
      </c>
      <c r="C19">
        <v>25.2</v>
      </c>
      <c r="D19">
        <f>VLOOKUP(A19,收盤價!A:C,3,0)</f>
        <v>60.8</v>
      </c>
      <c r="E19" s="163">
        <v>1.4126984126984126</v>
      </c>
      <c r="F19">
        <v>98.8</v>
      </c>
    </row>
    <row r="20" spans="1:6">
      <c r="A20">
        <v>3519</v>
      </c>
      <c r="B20" t="s">
        <v>1137</v>
      </c>
      <c r="C20">
        <v>9.86</v>
      </c>
      <c r="D20">
        <f>VLOOKUP(A20,收盤價!A:C,3,0)</f>
        <v>22.9</v>
      </c>
      <c r="E20" s="163">
        <v>1.3225152129817443</v>
      </c>
      <c r="F20">
        <v>98.74</v>
      </c>
    </row>
    <row r="21" spans="1:6">
      <c r="A21">
        <v>5245</v>
      </c>
      <c r="B21" t="s">
        <v>409</v>
      </c>
      <c r="C21">
        <v>43.1</v>
      </c>
      <c r="D21">
        <f>VLOOKUP(A21,收盤價!A:C,3,0)</f>
        <v>97.1</v>
      </c>
      <c r="E21" s="163">
        <v>1.2529002320185614</v>
      </c>
      <c r="F21">
        <v>98.68</v>
      </c>
    </row>
    <row r="22" spans="1:6">
      <c r="A22">
        <v>4130</v>
      </c>
      <c r="B22" t="s">
        <v>366</v>
      </c>
      <c r="C22">
        <v>28.8</v>
      </c>
      <c r="D22">
        <f>VLOOKUP(A22,收盤價!A:C,3,0)</f>
        <v>64.3</v>
      </c>
      <c r="E22" s="163">
        <v>1.2326388888888888</v>
      </c>
      <c r="F22">
        <v>98.61</v>
      </c>
    </row>
    <row r="23" spans="1:6">
      <c r="A23">
        <v>3686</v>
      </c>
      <c r="B23" t="s">
        <v>1169</v>
      </c>
      <c r="C23">
        <v>4.91</v>
      </c>
      <c r="D23">
        <f>VLOOKUP(A23,收盤價!A:C,3,0)</f>
        <v>10.95</v>
      </c>
      <c r="E23" s="163">
        <v>1.2301425661914458</v>
      </c>
      <c r="F23">
        <v>98.55</v>
      </c>
    </row>
    <row r="24" spans="1:6">
      <c r="A24">
        <v>4935</v>
      </c>
      <c r="B24" t="s">
        <v>1212</v>
      </c>
      <c r="C24">
        <v>33.049999999999997</v>
      </c>
      <c r="D24">
        <f>VLOOKUP(A24,收盤價!A:C,3,0)</f>
        <v>72.599999999999994</v>
      </c>
      <c r="E24" s="163">
        <v>1.1966717095310135</v>
      </c>
      <c r="F24">
        <v>98.49</v>
      </c>
    </row>
    <row r="25" spans="1:6">
      <c r="A25">
        <v>1565</v>
      </c>
      <c r="B25" t="s">
        <v>1437</v>
      </c>
      <c r="C25">
        <v>305.5</v>
      </c>
      <c r="D25">
        <f>VLOOKUP(A25,收盤價!A:C,3,0)</f>
        <v>656</v>
      </c>
      <c r="E25" s="163">
        <v>1.1472995090016367</v>
      </c>
      <c r="F25">
        <v>98.42</v>
      </c>
    </row>
    <row r="26" spans="1:6">
      <c r="A26">
        <v>4121</v>
      </c>
      <c r="B26" t="s">
        <v>1566</v>
      </c>
      <c r="C26">
        <v>7.99</v>
      </c>
      <c r="D26">
        <f>VLOOKUP(A26,收盤價!A:C,3,0)</f>
        <v>16.850000000000001</v>
      </c>
      <c r="E26" s="163">
        <v>1.1088861076345433</v>
      </c>
      <c r="F26">
        <v>98.36</v>
      </c>
    </row>
    <row r="27" spans="1:6">
      <c r="A27">
        <v>4108</v>
      </c>
      <c r="B27" t="s">
        <v>1180</v>
      </c>
      <c r="C27">
        <v>13.2</v>
      </c>
      <c r="D27">
        <f>VLOOKUP(A27,收盤價!A:C,3,0)</f>
        <v>27.7</v>
      </c>
      <c r="E27" s="163">
        <v>1.0984848484848486</v>
      </c>
      <c r="F27">
        <v>98.3</v>
      </c>
    </row>
    <row r="28" spans="1:6">
      <c r="A28">
        <v>6237</v>
      </c>
      <c r="B28" t="s">
        <v>479</v>
      </c>
      <c r="C28">
        <v>17.25</v>
      </c>
      <c r="D28">
        <f>VLOOKUP(A28,收盤價!A:C,3,0)</f>
        <v>36.1</v>
      </c>
      <c r="E28" s="163">
        <v>1.0927536231884059</v>
      </c>
      <c r="F28">
        <v>98.23</v>
      </c>
    </row>
    <row r="29" spans="1:6">
      <c r="A29">
        <v>2377</v>
      </c>
      <c r="B29" t="s">
        <v>847</v>
      </c>
      <c r="C29">
        <v>22.2</v>
      </c>
      <c r="D29">
        <f>VLOOKUP(A29,收盤價!A:C,3,0)</f>
        <v>46</v>
      </c>
      <c r="E29" s="163">
        <v>1.0720720720720722</v>
      </c>
      <c r="F29">
        <v>98.17</v>
      </c>
    </row>
    <row r="30" spans="1:6">
      <c r="A30">
        <v>3579</v>
      </c>
      <c r="B30" t="s">
        <v>1149</v>
      </c>
      <c r="C30">
        <v>8.11</v>
      </c>
      <c r="D30">
        <f>VLOOKUP(A30,收盤價!A:C,3,0)</f>
        <v>16.7</v>
      </c>
      <c r="E30" s="163">
        <v>1.059186189889026</v>
      </c>
      <c r="F30">
        <v>98.11</v>
      </c>
    </row>
    <row r="31" spans="1:6">
      <c r="A31">
        <v>8038</v>
      </c>
      <c r="B31" t="s">
        <v>499</v>
      </c>
      <c r="C31">
        <v>23.95</v>
      </c>
      <c r="D31">
        <f>VLOOKUP(A31,收盤價!A:C,3,0)</f>
        <v>49</v>
      </c>
      <c r="E31" s="163">
        <v>1.0459290187891441</v>
      </c>
      <c r="F31">
        <v>98.04</v>
      </c>
    </row>
    <row r="32" spans="1:6">
      <c r="A32">
        <v>3546</v>
      </c>
      <c r="B32" t="s">
        <v>1534</v>
      </c>
      <c r="C32">
        <v>20</v>
      </c>
      <c r="D32">
        <f>VLOOKUP(A32,收盤價!A:C,3,0)</f>
        <v>40.799999999999997</v>
      </c>
      <c r="E32" s="163">
        <v>1.0399999999999998</v>
      </c>
      <c r="F32">
        <v>97.98</v>
      </c>
    </row>
    <row r="33" spans="1:6">
      <c r="A33">
        <v>4934</v>
      </c>
      <c r="B33" t="s">
        <v>1211</v>
      </c>
      <c r="C33">
        <v>10.85</v>
      </c>
      <c r="D33">
        <f>VLOOKUP(A33,收盤價!A:C,3,0)</f>
        <v>22.05</v>
      </c>
      <c r="E33" s="163">
        <v>1.0322580645161292</v>
      </c>
      <c r="F33">
        <v>97.92</v>
      </c>
    </row>
    <row r="34" spans="1:6">
      <c r="A34">
        <v>3293</v>
      </c>
      <c r="B34" t="s">
        <v>1501</v>
      </c>
      <c r="C34">
        <v>61.2</v>
      </c>
      <c r="D34">
        <f>VLOOKUP(A34,收盤價!A:C,3,0)</f>
        <v>124</v>
      </c>
      <c r="E34" s="163">
        <v>1.0261437908496731</v>
      </c>
      <c r="F34">
        <v>97.85</v>
      </c>
    </row>
    <row r="35" spans="1:6">
      <c r="A35">
        <v>3083</v>
      </c>
      <c r="B35" t="s">
        <v>1471</v>
      </c>
      <c r="C35">
        <v>21</v>
      </c>
      <c r="D35">
        <f>VLOOKUP(A35,收盤價!A:C,3,0)</f>
        <v>42.35</v>
      </c>
      <c r="E35" s="163">
        <v>1.0166666666666668</v>
      </c>
      <c r="F35">
        <v>97.79</v>
      </c>
    </row>
    <row r="36" spans="1:6">
      <c r="A36">
        <v>4726</v>
      </c>
      <c r="B36" t="s">
        <v>1613</v>
      </c>
      <c r="C36">
        <v>23.45</v>
      </c>
      <c r="D36">
        <f>VLOOKUP(A36,收盤價!A:C,3,0)</f>
        <v>47.25</v>
      </c>
      <c r="E36" s="163">
        <v>1.0149253731343284</v>
      </c>
      <c r="F36">
        <v>97.73</v>
      </c>
    </row>
    <row r="37" spans="1:6">
      <c r="A37">
        <v>4168</v>
      </c>
      <c r="B37" t="s">
        <v>371</v>
      </c>
      <c r="C37">
        <v>27.4</v>
      </c>
      <c r="D37">
        <f>VLOOKUP(A37,收盤價!A:C,3,0)</f>
        <v>55.2</v>
      </c>
      <c r="E37" s="163">
        <v>1.0145985401459856</v>
      </c>
      <c r="F37">
        <v>97.67</v>
      </c>
    </row>
    <row r="38" spans="1:6">
      <c r="A38">
        <v>3035</v>
      </c>
      <c r="B38" t="s">
        <v>1072</v>
      </c>
      <c r="C38">
        <v>23.85</v>
      </c>
      <c r="D38">
        <f>VLOOKUP(A38,收盤價!A:C,3,0)</f>
        <v>46.95</v>
      </c>
      <c r="E38" s="163">
        <v>0.96855345911949686</v>
      </c>
      <c r="F38">
        <v>97.6</v>
      </c>
    </row>
    <row r="39" spans="1:6">
      <c r="A39">
        <v>1704</v>
      </c>
      <c r="B39" t="s">
        <v>698</v>
      </c>
      <c r="C39">
        <v>16.8</v>
      </c>
      <c r="D39">
        <f>VLOOKUP(A39,收盤價!A:C,3,0)</f>
        <v>32.9</v>
      </c>
      <c r="E39" s="163">
        <v>0.95833333333333315</v>
      </c>
      <c r="F39">
        <v>97.54</v>
      </c>
    </row>
    <row r="40" spans="1:6">
      <c r="A40">
        <v>2498</v>
      </c>
      <c r="B40" t="s">
        <v>936</v>
      </c>
      <c r="C40">
        <v>40.35</v>
      </c>
      <c r="D40">
        <f>VLOOKUP(A40,收盤價!A:C,3,0)</f>
        <v>79</v>
      </c>
      <c r="E40" s="163">
        <v>0.95786864931846338</v>
      </c>
      <c r="F40">
        <v>97.48</v>
      </c>
    </row>
    <row r="41" spans="1:6">
      <c r="A41">
        <v>2457</v>
      </c>
      <c r="B41" t="s">
        <v>904</v>
      </c>
      <c r="C41">
        <v>6.82</v>
      </c>
      <c r="D41">
        <f>VLOOKUP(A41,收盤價!A:C,3,0)</f>
        <v>13.35</v>
      </c>
      <c r="E41" s="163">
        <v>0.95747800586510246</v>
      </c>
      <c r="F41">
        <v>97.41</v>
      </c>
    </row>
    <row r="42" spans="1:6">
      <c r="A42">
        <v>2492</v>
      </c>
      <c r="B42" t="s">
        <v>931</v>
      </c>
      <c r="C42">
        <v>10.15</v>
      </c>
      <c r="D42">
        <f>VLOOKUP(A42,收盤價!A:C,3,0)</f>
        <v>19.850000000000001</v>
      </c>
      <c r="E42" s="163">
        <v>0.95566502463054193</v>
      </c>
      <c r="F42">
        <v>97.35</v>
      </c>
    </row>
    <row r="43" spans="1:6">
      <c r="A43">
        <v>8171</v>
      </c>
      <c r="B43" t="s">
        <v>1808</v>
      </c>
      <c r="C43">
        <v>5.69</v>
      </c>
      <c r="D43">
        <f>VLOOKUP(A43,收盤價!A:C,3,0)</f>
        <v>11.1</v>
      </c>
      <c r="E43" s="163">
        <v>0.9507908611599295</v>
      </c>
      <c r="F43">
        <v>97.29</v>
      </c>
    </row>
    <row r="44" spans="1:6">
      <c r="A44">
        <v>4984</v>
      </c>
      <c r="B44" t="s">
        <v>1221</v>
      </c>
      <c r="C44">
        <v>23</v>
      </c>
      <c r="D44">
        <f>VLOOKUP(A44,收盤價!A:C,3,0)</f>
        <v>44.75</v>
      </c>
      <c r="E44" s="163">
        <v>0.94565217391304346</v>
      </c>
      <c r="F44">
        <v>97.22</v>
      </c>
    </row>
    <row r="45" spans="1:6">
      <c r="A45">
        <v>4735</v>
      </c>
      <c r="B45" t="s">
        <v>1614</v>
      </c>
      <c r="C45">
        <v>17.600000000000001</v>
      </c>
      <c r="D45">
        <f>VLOOKUP(A45,收盤價!A:C,3,0)</f>
        <v>34.200000000000003</v>
      </c>
      <c r="E45" s="163">
        <v>0.94318181818181823</v>
      </c>
      <c r="F45">
        <v>97.16</v>
      </c>
    </row>
    <row r="46" spans="1:6">
      <c r="A46">
        <v>3078</v>
      </c>
      <c r="B46" t="s">
        <v>1469</v>
      </c>
      <c r="C46">
        <v>11.85</v>
      </c>
      <c r="D46">
        <f>VLOOKUP(A46,收盤價!A:C,3,0)</f>
        <v>22.95</v>
      </c>
      <c r="E46" s="163">
        <v>0.93670886075949367</v>
      </c>
      <c r="F46">
        <v>97.1</v>
      </c>
    </row>
    <row r="47" spans="1:6">
      <c r="A47">
        <v>3573</v>
      </c>
      <c r="B47" t="s">
        <v>1147</v>
      </c>
      <c r="C47">
        <v>13.5</v>
      </c>
      <c r="D47">
        <f>VLOOKUP(A47,收盤價!A:C,3,0)</f>
        <v>26.05</v>
      </c>
      <c r="E47" s="163">
        <v>0.92962962962962969</v>
      </c>
      <c r="F47">
        <v>97.03</v>
      </c>
    </row>
    <row r="48" spans="1:6">
      <c r="A48">
        <v>6111</v>
      </c>
      <c r="B48" t="s">
        <v>1711</v>
      </c>
      <c r="C48">
        <v>64.8</v>
      </c>
      <c r="D48">
        <f>VLOOKUP(A48,收盤價!A:C,3,0)</f>
        <v>125</v>
      </c>
      <c r="E48" s="163">
        <v>0.92901234567901247</v>
      </c>
      <c r="F48">
        <v>96.97</v>
      </c>
    </row>
    <row r="49" spans="1:6">
      <c r="A49">
        <v>3605</v>
      </c>
      <c r="B49" t="s">
        <v>1157</v>
      </c>
      <c r="C49">
        <v>14.5</v>
      </c>
      <c r="D49">
        <f>VLOOKUP(A49,收盤價!A:C,3,0)</f>
        <v>27.65</v>
      </c>
      <c r="E49" s="163">
        <v>0.90689655172413786</v>
      </c>
      <c r="F49">
        <v>96.91</v>
      </c>
    </row>
    <row r="50" spans="1:6">
      <c r="A50">
        <v>2481</v>
      </c>
      <c r="B50" t="s">
        <v>922</v>
      </c>
      <c r="C50">
        <v>7.61</v>
      </c>
      <c r="D50">
        <f>VLOOKUP(A50,收盤價!A:C,3,0)</f>
        <v>14.5</v>
      </c>
      <c r="E50" s="163">
        <v>0.90538764783180015</v>
      </c>
      <c r="F50">
        <v>96.85</v>
      </c>
    </row>
    <row r="51" spans="1:6">
      <c r="A51">
        <v>5288</v>
      </c>
      <c r="B51" t="s">
        <v>1234</v>
      </c>
      <c r="C51">
        <v>52.3</v>
      </c>
      <c r="D51">
        <f>VLOOKUP(A51,收盤價!A:C,3,0)</f>
        <v>99.6</v>
      </c>
      <c r="E51" s="163">
        <v>0.90439770554493304</v>
      </c>
      <c r="F51">
        <v>96.78</v>
      </c>
    </row>
    <row r="52" spans="1:6">
      <c r="A52">
        <v>3413</v>
      </c>
      <c r="B52" t="s">
        <v>1121</v>
      </c>
      <c r="C52">
        <v>44.1</v>
      </c>
      <c r="D52">
        <f>VLOOKUP(A52,收盤價!A:C,3,0)</f>
        <v>83.6</v>
      </c>
      <c r="E52" s="163">
        <v>0.89569160997732411</v>
      </c>
      <c r="F52">
        <v>96.72</v>
      </c>
    </row>
    <row r="53" spans="1:6">
      <c r="A53">
        <v>2439</v>
      </c>
      <c r="B53" t="s">
        <v>890</v>
      </c>
      <c r="C53">
        <v>31.9</v>
      </c>
      <c r="D53">
        <f>VLOOKUP(A53,收盤價!A:C,3,0)</f>
        <v>60.4</v>
      </c>
      <c r="E53" s="163">
        <v>0.89341692789968652</v>
      </c>
      <c r="F53">
        <v>96.66</v>
      </c>
    </row>
    <row r="54" spans="1:6">
      <c r="A54">
        <v>4971</v>
      </c>
      <c r="B54" t="s">
        <v>1629</v>
      </c>
      <c r="C54">
        <v>71.2</v>
      </c>
      <c r="D54">
        <f>VLOOKUP(A54,收盤價!A:C,3,0)</f>
        <v>134.5</v>
      </c>
      <c r="E54" s="163">
        <v>0.8890449438202247</v>
      </c>
      <c r="F54">
        <v>96.59</v>
      </c>
    </row>
    <row r="55" spans="1:6">
      <c r="A55">
        <v>3580</v>
      </c>
      <c r="B55" t="s">
        <v>1541</v>
      </c>
      <c r="C55">
        <v>5.0999999999999996</v>
      </c>
      <c r="D55">
        <f>VLOOKUP(A55,收盤價!A:C,3,0)</f>
        <v>9.6300000000000008</v>
      </c>
      <c r="E55" s="163">
        <v>0.88823529411764734</v>
      </c>
      <c r="F55">
        <v>96.53</v>
      </c>
    </row>
    <row r="56" spans="1:6">
      <c r="A56">
        <v>3548</v>
      </c>
      <c r="B56" t="s">
        <v>341</v>
      </c>
      <c r="C56">
        <v>18.2</v>
      </c>
      <c r="D56">
        <f>VLOOKUP(A56,收盤價!A:C,3,0)</f>
        <v>34.25</v>
      </c>
      <c r="E56" s="163">
        <v>0.88186813186813195</v>
      </c>
      <c r="F56">
        <v>96.47</v>
      </c>
    </row>
    <row r="57" spans="1:6">
      <c r="A57">
        <v>3617</v>
      </c>
      <c r="B57" t="s">
        <v>1159</v>
      </c>
      <c r="C57">
        <v>54.6</v>
      </c>
      <c r="D57">
        <f>VLOOKUP(A57,收盤價!A:C,3,0)</f>
        <v>102.5</v>
      </c>
      <c r="E57" s="163">
        <v>0.87728937728937728</v>
      </c>
      <c r="F57">
        <v>96.4</v>
      </c>
    </row>
    <row r="58" spans="1:6">
      <c r="A58">
        <v>3376</v>
      </c>
      <c r="B58" t="s">
        <v>1117</v>
      </c>
      <c r="C58">
        <v>69.5</v>
      </c>
      <c r="D58">
        <f>VLOOKUP(A58,收盤價!A:C,3,0)</f>
        <v>130</v>
      </c>
      <c r="E58" s="163">
        <v>0.87050359712230219</v>
      </c>
      <c r="F58">
        <v>96.34</v>
      </c>
    </row>
    <row r="59" spans="1:6">
      <c r="A59">
        <v>5450</v>
      </c>
      <c r="B59" t="s">
        <v>432</v>
      </c>
      <c r="C59">
        <v>6</v>
      </c>
      <c r="D59">
        <f>VLOOKUP(A59,收盤價!A:C,3,0)</f>
        <v>11.2</v>
      </c>
      <c r="E59" s="163">
        <v>0.86666666666666659</v>
      </c>
      <c r="F59">
        <v>96.28</v>
      </c>
    </row>
    <row r="60" spans="1:6">
      <c r="A60">
        <v>3561</v>
      </c>
      <c r="B60" t="s">
        <v>1146</v>
      </c>
      <c r="C60">
        <v>11</v>
      </c>
      <c r="D60">
        <f>VLOOKUP(A60,收盤價!A:C,3,0)</f>
        <v>20.5</v>
      </c>
      <c r="E60" s="163">
        <v>0.86363636363636365</v>
      </c>
      <c r="F60">
        <v>96.21</v>
      </c>
    </row>
    <row r="61" spans="1:6">
      <c r="A61">
        <v>6282</v>
      </c>
      <c r="B61" t="s">
        <v>1312</v>
      </c>
      <c r="C61">
        <v>12.85</v>
      </c>
      <c r="D61">
        <f>VLOOKUP(A61,收盤價!A:C,3,0)</f>
        <v>23.9</v>
      </c>
      <c r="E61" s="163">
        <v>0.85992217898832679</v>
      </c>
      <c r="F61">
        <v>96.15</v>
      </c>
    </row>
    <row r="62" spans="1:6">
      <c r="A62">
        <v>8436</v>
      </c>
      <c r="B62" t="s">
        <v>1831</v>
      </c>
      <c r="C62">
        <v>63.5</v>
      </c>
      <c r="D62">
        <f>VLOOKUP(A62,收盤價!A:C,3,0)</f>
        <v>118</v>
      </c>
      <c r="E62" s="163">
        <v>0.8582677165354331</v>
      </c>
      <c r="F62">
        <v>96.09</v>
      </c>
    </row>
    <row r="63" spans="1:6">
      <c r="A63">
        <v>3479</v>
      </c>
      <c r="B63" t="s">
        <v>1520</v>
      </c>
      <c r="C63">
        <v>32.799999999999997</v>
      </c>
      <c r="D63">
        <f>VLOOKUP(A63,收盤價!A:C,3,0)</f>
        <v>60.9</v>
      </c>
      <c r="E63" s="163">
        <v>0.85670731707317083</v>
      </c>
      <c r="F63">
        <v>96.03</v>
      </c>
    </row>
    <row r="64" spans="1:6">
      <c r="A64">
        <v>3322</v>
      </c>
      <c r="B64" t="s">
        <v>1505</v>
      </c>
      <c r="C64">
        <v>6.2</v>
      </c>
      <c r="D64">
        <f>VLOOKUP(A64,收盤價!A:C,3,0)</f>
        <v>11.5</v>
      </c>
      <c r="E64" s="163">
        <v>0.85483870967741926</v>
      </c>
      <c r="F64">
        <v>95.96</v>
      </c>
    </row>
    <row r="65" spans="1:6">
      <c r="A65">
        <v>3596</v>
      </c>
      <c r="B65" t="s">
        <v>1155</v>
      </c>
      <c r="C65">
        <v>19.2</v>
      </c>
      <c r="D65">
        <f>VLOOKUP(A65,收盤價!A:C,3,0)</f>
        <v>35.549999999999997</v>
      </c>
      <c r="E65" s="163">
        <v>0.85156249999999989</v>
      </c>
      <c r="F65">
        <v>95.9</v>
      </c>
    </row>
    <row r="66" spans="1:6">
      <c r="A66">
        <v>4188</v>
      </c>
      <c r="B66" t="s">
        <v>1581</v>
      </c>
      <c r="C66">
        <v>14.7</v>
      </c>
      <c r="D66">
        <f>VLOOKUP(A66,收盤價!A:C,3,0)</f>
        <v>27.1</v>
      </c>
      <c r="E66" s="163">
        <v>0.84353741496598655</v>
      </c>
      <c r="F66">
        <v>95.84</v>
      </c>
    </row>
    <row r="67" spans="1:6">
      <c r="A67">
        <v>8432</v>
      </c>
      <c r="B67" t="s">
        <v>519</v>
      </c>
      <c r="C67">
        <v>38.799999999999997</v>
      </c>
      <c r="D67">
        <f>VLOOKUP(A67,收盤價!A:C,3,0)</f>
        <v>71.5</v>
      </c>
      <c r="E67" s="163">
        <v>0.84278350515463929</v>
      </c>
      <c r="F67">
        <v>95.77</v>
      </c>
    </row>
    <row r="68" spans="1:6">
      <c r="A68">
        <v>4192</v>
      </c>
      <c r="B68" t="s">
        <v>1582</v>
      </c>
      <c r="C68">
        <v>24.75</v>
      </c>
      <c r="D68">
        <f>VLOOKUP(A68,收盤價!A:C,3,0)</f>
        <v>45.6</v>
      </c>
      <c r="E68" s="163">
        <v>0.84242424242424252</v>
      </c>
      <c r="F68">
        <v>95.71</v>
      </c>
    </row>
    <row r="69" spans="1:6">
      <c r="A69">
        <v>2425</v>
      </c>
      <c r="B69" t="s">
        <v>878</v>
      </c>
      <c r="C69">
        <v>12</v>
      </c>
      <c r="D69">
        <f>VLOOKUP(A69,收盤價!A:C,3,0)</f>
        <v>22.1</v>
      </c>
      <c r="E69" s="163">
        <v>0.84166666666666679</v>
      </c>
      <c r="F69">
        <v>95.65</v>
      </c>
    </row>
    <row r="70" spans="1:6">
      <c r="A70">
        <v>3492</v>
      </c>
      <c r="B70" t="s">
        <v>1522</v>
      </c>
      <c r="C70">
        <v>15.95</v>
      </c>
      <c r="D70">
        <f>VLOOKUP(A70,收盤價!A:C,3,0)</f>
        <v>29.35</v>
      </c>
      <c r="E70" s="163">
        <v>0.84012539184952995</v>
      </c>
      <c r="F70">
        <v>95.58</v>
      </c>
    </row>
    <row r="71" spans="1:6">
      <c r="A71">
        <v>1541</v>
      </c>
      <c r="B71" t="s">
        <v>673</v>
      </c>
      <c r="C71">
        <v>23.05</v>
      </c>
      <c r="D71">
        <f>VLOOKUP(A71,收盤價!A:C,3,0)</f>
        <v>42.4</v>
      </c>
      <c r="E71" s="163">
        <v>0.8394793926247287</v>
      </c>
      <c r="F71">
        <v>95.52</v>
      </c>
    </row>
    <row r="72" spans="1:6">
      <c r="A72">
        <v>5269</v>
      </c>
      <c r="B72" t="s">
        <v>1232</v>
      </c>
      <c r="C72">
        <v>117</v>
      </c>
      <c r="D72">
        <f>VLOOKUP(A72,收盤價!A:C,3,0)</f>
        <v>215</v>
      </c>
      <c r="E72" s="163">
        <v>0.83760683760683763</v>
      </c>
      <c r="F72">
        <v>95.46</v>
      </c>
    </row>
    <row r="73" spans="1:6">
      <c r="A73">
        <v>6244</v>
      </c>
      <c r="B73" t="s">
        <v>481</v>
      </c>
      <c r="C73">
        <v>25.55</v>
      </c>
      <c r="D73">
        <f>VLOOKUP(A73,收盤價!A:C,3,0)</f>
        <v>46.8</v>
      </c>
      <c r="E73" s="163">
        <v>0.83170254403131094</v>
      </c>
      <c r="F73">
        <v>95.39</v>
      </c>
    </row>
    <row r="74" spans="1:6">
      <c r="A74">
        <v>2496</v>
      </c>
      <c r="B74" t="s">
        <v>934</v>
      </c>
      <c r="C74">
        <v>7.6</v>
      </c>
      <c r="D74">
        <f>VLOOKUP(A74,收盤價!A:C,3,0)</f>
        <v>13.9</v>
      </c>
      <c r="E74" s="163">
        <v>0.82894736842105277</v>
      </c>
      <c r="F74">
        <v>95.33</v>
      </c>
    </row>
    <row r="75" spans="1:6">
      <c r="A75">
        <v>8433</v>
      </c>
      <c r="B75" t="s">
        <v>520</v>
      </c>
      <c r="C75">
        <v>68.900000000000006</v>
      </c>
      <c r="D75">
        <f>VLOOKUP(A75,收盤價!A:C,3,0)</f>
        <v>126</v>
      </c>
      <c r="E75" s="163">
        <v>0.82873730043541349</v>
      </c>
      <c r="F75">
        <v>95.27</v>
      </c>
    </row>
    <row r="76" spans="1:6">
      <c r="A76">
        <v>5443</v>
      </c>
      <c r="B76" t="s">
        <v>1673</v>
      </c>
      <c r="C76">
        <v>9.4</v>
      </c>
      <c r="D76">
        <f>VLOOKUP(A76,收盤價!A:C,3,0)</f>
        <v>17.100000000000001</v>
      </c>
      <c r="E76" s="163">
        <v>0.81914893617021289</v>
      </c>
      <c r="F76">
        <v>95.21</v>
      </c>
    </row>
    <row r="77" spans="1:6">
      <c r="A77">
        <v>3552</v>
      </c>
      <c r="B77" t="s">
        <v>1535</v>
      </c>
      <c r="C77">
        <v>167.5</v>
      </c>
      <c r="D77">
        <f>VLOOKUP(A77,收盤價!A:C,3,0)</f>
        <v>303</v>
      </c>
      <c r="E77" s="163">
        <v>0.80895522388059704</v>
      </c>
      <c r="F77">
        <v>95.14</v>
      </c>
    </row>
    <row r="78" spans="1:6">
      <c r="A78">
        <v>4947</v>
      </c>
      <c r="B78" t="s">
        <v>1626</v>
      </c>
      <c r="C78">
        <v>115</v>
      </c>
      <c r="D78">
        <f>VLOOKUP(A78,收盤價!A:C,3,0)</f>
        <v>207</v>
      </c>
      <c r="E78" s="163">
        <v>0.8</v>
      </c>
      <c r="F78">
        <v>95.08</v>
      </c>
    </row>
    <row r="79" spans="1:6">
      <c r="A79">
        <v>3666</v>
      </c>
      <c r="B79" t="s">
        <v>358</v>
      </c>
      <c r="C79">
        <v>12.5</v>
      </c>
      <c r="D79">
        <f>VLOOKUP(A79,收盤價!A:C,3,0)</f>
        <v>22.45</v>
      </c>
      <c r="E79" s="163">
        <v>0.79599999999999993</v>
      </c>
      <c r="F79">
        <v>95.02</v>
      </c>
    </row>
    <row r="80" spans="1:6">
      <c r="A80">
        <v>2472</v>
      </c>
      <c r="B80" t="s">
        <v>1853</v>
      </c>
      <c r="C80">
        <v>18.350000000000001</v>
      </c>
      <c r="D80">
        <f>VLOOKUP(A80,收盤價!A:C,3,0)</f>
        <v>32.799999999999997</v>
      </c>
      <c r="E80" s="163">
        <v>0.78746594005449566</v>
      </c>
      <c r="F80">
        <v>94.95</v>
      </c>
    </row>
    <row r="81" spans="1:6">
      <c r="A81">
        <v>1512</v>
      </c>
      <c r="B81" t="s">
        <v>648</v>
      </c>
      <c r="C81">
        <v>3.14</v>
      </c>
      <c r="D81">
        <f>VLOOKUP(A81,收盤價!A:C,3,0)</f>
        <v>5.59</v>
      </c>
      <c r="E81" s="163">
        <v>0.78025477707006363</v>
      </c>
      <c r="F81">
        <v>94.89</v>
      </c>
    </row>
    <row r="82" spans="1:6">
      <c r="A82">
        <v>1784</v>
      </c>
      <c r="B82" t="s">
        <v>1446</v>
      </c>
      <c r="C82">
        <v>20.8</v>
      </c>
      <c r="D82">
        <f>VLOOKUP(A82,收盤價!A:C,3,0)</f>
        <v>37</v>
      </c>
      <c r="E82" s="163">
        <v>0.77884615384615374</v>
      </c>
      <c r="F82">
        <v>94.83</v>
      </c>
    </row>
    <row r="83" spans="1:6">
      <c r="A83">
        <v>2413</v>
      </c>
      <c r="B83" t="s">
        <v>869</v>
      </c>
      <c r="C83">
        <v>8.86</v>
      </c>
      <c r="D83">
        <f>VLOOKUP(A83,收盤價!A:C,3,0)</f>
        <v>15.75</v>
      </c>
      <c r="E83" s="163">
        <v>0.77765237020316036</v>
      </c>
      <c r="F83">
        <v>94.76</v>
      </c>
    </row>
    <row r="84" spans="1:6">
      <c r="A84">
        <v>8446</v>
      </c>
      <c r="B84" t="s">
        <v>1833</v>
      </c>
      <c r="C84">
        <v>62.5</v>
      </c>
      <c r="D84">
        <f>VLOOKUP(A84,收盤價!A:C,3,0)</f>
        <v>110.5</v>
      </c>
      <c r="E84" s="163">
        <v>0.76800000000000002</v>
      </c>
      <c r="F84">
        <v>94.7</v>
      </c>
    </row>
    <row r="85" spans="1:6">
      <c r="A85">
        <v>3545</v>
      </c>
      <c r="B85" t="s">
        <v>1142</v>
      </c>
      <c r="C85">
        <v>19.75</v>
      </c>
      <c r="D85">
        <f>VLOOKUP(A85,收盤價!A:C,3,0)</f>
        <v>34.700000000000003</v>
      </c>
      <c r="E85" s="163">
        <v>0.75696202531645584</v>
      </c>
      <c r="F85">
        <v>94.64</v>
      </c>
    </row>
    <row r="86" spans="1:6">
      <c r="A86">
        <v>8431</v>
      </c>
      <c r="B86" t="s">
        <v>518</v>
      </c>
      <c r="C86">
        <v>48.9</v>
      </c>
      <c r="D86">
        <f>VLOOKUP(A86,收盤價!A:C,3,0)</f>
        <v>85.7</v>
      </c>
      <c r="E86" s="163">
        <v>0.75255623721881404</v>
      </c>
      <c r="F86">
        <v>94.57</v>
      </c>
    </row>
    <row r="87" spans="1:6">
      <c r="A87">
        <v>1527</v>
      </c>
      <c r="B87" t="s">
        <v>660</v>
      </c>
      <c r="C87">
        <v>35.9</v>
      </c>
      <c r="D87">
        <f>VLOOKUP(A87,收盤價!A:C,3,0)</f>
        <v>62.8</v>
      </c>
      <c r="E87" s="163">
        <v>0.74930362116991645</v>
      </c>
      <c r="F87">
        <v>94.51</v>
      </c>
    </row>
    <row r="88" spans="1:6">
      <c r="A88">
        <v>8121</v>
      </c>
      <c r="B88" t="s">
        <v>1805</v>
      </c>
      <c r="C88">
        <v>9.68</v>
      </c>
      <c r="D88">
        <f>VLOOKUP(A88,收盤價!A:C,3,0)</f>
        <v>16.850000000000001</v>
      </c>
      <c r="E88" s="163">
        <v>0.74070247933884314</v>
      </c>
      <c r="F88">
        <v>94.45</v>
      </c>
    </row>
    <row r="89" spans="1:6">
      <c r="A89">
        <v>2374</v>
      </c>
      <c r="B89" t="s">
        <v>844</v>
      </c>
      <c r="C89">
        <v>13.45</v>
      </c>
      <c r="D89">
        <f>VLOOKUP(A89,收盤價!A:C,3,0)</f>
        <v>23.4</v>
      </c>
      <c r="E89" s="163">
        <v>0.73977695167286239</v>
      </c>
      <c r="F89">
        <v>94.38</v>
      </c>
    </row>
    <row r="90" spans="1:6">
      <c r="A90">
        <v>3092</v>
      </c>
      <c r="B90" t="s">
        <v>288</v>
      </c>
      <c r="C90">
        <v>9.3000000000000007</v>
      </c>
      <c r="D90">
        <f>VLOOKUP(A90,收盤價!A:C,3,0)</f>
        <v>16.149999999999999</v>
      </c>
      <c r="E90" s="163">
        <v>0.73655913978494592</v>
      </c>
      <c r="F90">
        <v>94.32</v>
      </c>
    </row>
    <row r="91" spans="1:6">
      <c r="A91">
        <v>3055</v>
      </c>
      <c r="B91" t="s">
        <v>1090</v>
      </c>
      <c r="C91">
        <v>10.199999999999999</v>
      </c>
      <c r="D91">
        <f>VLOOKUP(A91,收盤價!A:C,3,0)</f>
        <v>17.7</v>
      </c>
      <c r="E91" s="163">
        <v>0.73529411764705888</v>
      </c>
      <c r="F91">
        <v>94.26</v>
      </c>
    </row>
    <row r="92" spans="1:6">
      <c r="A92">
        <v>8176</v>
      </c>
      <c r="B92" t="s">
        <v>1809</v>
      </c>
      <c r="C92">
        <v>5.13</v>
      </c>
      <c r="D92">
        <f>VLOOKUP(A92,收盤價!A:C,3,0)</f>
        <v>8.8800000000000008</v>
      </c>
      <c r="E92" s="163">
        <v>0.73099415204678386</v>
      </c>
      <c r="F92">
        <v>94.2</v>
      </c>
    </row>
    <row r="93" spans="1:6">
      <c r="A93">
        <v>4916</v>
      </c>
      <c r="B93" t="s">
        <v>1207</v>
      </c>
      <c r="C93">
        <v>12.3</v>
      </c>
      <c r="D93">
        <f>VLOOKUP(A93,收盤價!A:C,3,0)</f>
        <v>21.25</v>
      </c>
      <c r="E93" s="163">
        <v>0.72764227642276413</v>
      </c>
      <c r="F93">
        <v>94.13</v>
      </c>
    </row>
    <row r="94" spans="1:6">
      <c r="A94">
        <v>6411</v>
      </c>
      <c r="B94" t="s">
        <v>492</v>
      </c>
      <c r="C94">
        <v>19.25</v>
      </c>
      <c r="D94">
        <f>VLOOKUP(A94,收盤價!A:C,3,0)</f>
        <v>33.25</v>
      </c>
      <c r="E94" s="163">
        <v>0.72727272727272729</v>
      </c>
      <c r="F94">
        <v>94.07</v>
      </c>
    </row>
    <row r="95" spans="1:6">
      <c r="A95">
        <v>3038</v>
      </c>
      <c r="B95" t="s">
        <v>1075</v>
      </c>
      <c r="C95">
        <v>5.83</v>
      </c>
      <c r="D95">
        <f>VLOOKUP(A95,收盤價!A:C,3,0)</f>
        <v>10.050000000000001</v>
      </c>
      <c r="E95" s="163">
        <v>0.72384219554030882</v>
      </c>
      <c r="F95">
        <v>94.01</v>
      </c>
    </row>
    <row r="96" spans="1:6">
      <c r="A96">
        <v>1337</v>
      </c>
      <c r="B96" t="s">
        <v>590</v>
      </c>
      <c r="C96">
        <v>10.75</v>
      </c>
      <c r="D96">
        <f>VLOOKUP(A96,收盤價!A:C,3,0)</f>
        <v>18.5</v>
      </c>
      <c r="E96" s="163">
        <v>0.72093023255813948</v>
      </c>
      <c r="F96">
        <v>93.94</v>
      </c>
    </row>
    <row r="97" spans="1:6">
      <c r="A97">
        <v>3011</v>
      </c>
      <c r="B97" t="s">
        <v>1051</v>
      </c>
      <c r="C97">
        <v>4.1900000000000004</v>
      </c>
      <c r="D97">
        <f>VLOOKUP(A97,收盤價!A:C,3,0)</f>
        <v>7.21</v>
      </c>
      <c r="E97" s="163">
        <v>0.72076372315035786</v>
      </c>
      <c r="F97">
        <v>93.88</v>
      </c>
    </row>
    <row r="98" spans="1:6">
      <c r="A98">
        <v>6142</v>
      </c>
      <c r="B98" t="s">
        <v>1270</v>
      </c>
      <c r="C98">
        <v>3.5</v>
      </c>
      <c r="D98">
        <f>VLOOKUP(A98,收盤價!A:C,3,0)</f>
        <v>6</v>
      </c>
      <c r="E98" s="163">
        <v>0.7142857142857143</v>
      </c>
      <c r="F98">
        <v>93.82</v>
      </c>
    </row>
    <row r="99" spans="1:6">
      <c r="A99">
        <v>2426</v>
      </c>
      <c r="B99" t="s">
        <v>879</v>
      </c>
      <c r="C99">
        <v>9.27</v>
      </c>
      <c r="D99">
        <f>VLOOKUP(A99,收盤價!A:C,3,0)</f>
        <v>15.85</v>
      </c>
      <c r="E99" s="163">
        <v>0.70981661272923413</v>
      </c>
      <c r="F99">
        <v>93.75</v>
      </c>
    </row>
    <row r="100" spans="1:6">
      <c r="A100">
        <v>3687</v>
      </c>
      <c r="B100" t="s">
        <v>360</v>
      </c>
      <c r="C100">
        <v>38.75</v>
      </c>
      <c r="D100">
        <f>VLOOKUP(A100,收盤價!A:C,3,0)</f>
        <v>66.2</v>
      </c>
      <c r="E100" s="163">
        <v>0.70838709677419365</v>
      </c>
      <c r="F100">
        <v>93.69</v>
      </c>
    </row>
    <row r="101" spans="1:6">
      <c r="A101">
        <v>3642</v>
      </c>
      <c r="B101" t="s">
        <v>1548</v>
      </c>
      <c r="C101">
        <v>17.100000000000001</v>
      </c>
      <c r="D101">
        <f>VLOOKUP(A101,收盤價!A:C,3,0)</f>
        <v>29.2</v>
      </c>
      <c r="E101" s="163">
        <v>0.70760233918128634</v>
      </c>
      <c r="F101">
        <v>93.63</v>
      </c>
    </row>
    <row r="102" spans="1:6">
      <c r="A102">
        <v>4162</v>
      </c>
      <c r="B102" t="s">
        <v>369</v>
      </c>
      <c r="C102">
        <v>140.5</v>
      </c>
      <c r="D102">
        <f>VLOOKUP(A102,收盤價!A:C,3,0)</f>
        <v>239</v>
      </c>
      <c r="E102" s="163">
        <v>0.70106761565836295</v>
      </c>
      <c r="F102">
        <v>93.56</v>
      </c>
    </row>
    <row r="103" spans="1:6">
      <c r="A103">
        <v>3587</v>
      </c>
      <c r="B103" t="s">
        <v>1543</v>
      </c>
      <c r="C103">
        <v>34</v>
      </c>
      <c r="D103">
        <f>VLOOKUP(A103,收盤價!A:C,3,0)</f>
        <v>57.8</v>
      </c>
      <c r="E103" s="163">
        <v>0.7</v>
      </c>
      <c r="F103">
        <v>93.5</v>
      </c>
    </row>
    <row r="104" spans="1:6">
      <c r="A104">
        <v>8201</v>
      </c>
      <c r="B104" t="s">
        <v>1352</v>
      </c>
      <c r="C104">
        <v>5.51</v>
      </c>
      <c r="D104">
        <f>VLOOKUP(A104,收盤價!A:C,3,0)</f>
        <v>9.33</v>
      </c>
      <c r="E104" s="163">
        <v>0.69328493647912892</v>
      </c>
      <c r="F104">
        <v>93.44</v>
      </c>
    </row>
    <row r="105" spans="1:6">
      <c r="A105">
        <v>2364</v>
      </c>
      <c r="B105" t="s">
        <v>837</v>
      </c>
      <c r="C105">
        <v>1.47</v>
      </c>
      <c r="D105">
        <f>VLOOKUP(A105,收盤價!A:C,3,0)</f>
        <v>2.48</v>
      </c>
      <c r="E105" s="163">
        <v>0.68707482993197277</v>
      </c>
      <c r="F105">
        <v>93.38</v>
      </c>
    </row>
    <row r="106" spans="1:6">
      <c r="A106">
        <v>2485</v>
      </c>
      <c r="B106" t="s">
        <v>926</v>
      </c>
      <c r="C106">
        <v>29.5</v>
      </c>
      <c r="D106">
        <f>VLOOKUP(A106,收盤價!A:C,3,0)</f>
        <v>49.65</v>
      </c>
      <c r="E106" s="163">
        <v>0.68305084745762712</v>
      </c>
      <c r="F106">
        <v>93.31</v>
      </c>
    </row>
    <row r="107" spans="1:6">
      <c r="A107">
        <v>8277</v>
      </c>
      <c r="B107" t="s">
        <v>1815</v>
      </c>
      <c r="C107">
        <v>4.34</v>
      </c>
      <c r="D107">
        <f>VLOOKUP(A107,收盤價!A:C,3,0)</f>
        <v>7.3</v>
      </c>
      <c r="E107" s="163">
        <v>0.6820276497695853</v>
      </c>
      <c r="F107">
        <v>93.25</v>
      </c>
    </row>
    <row r="108" spans="1:6">
      <c r="A108">
        <v>3576</v>
      </c>
      <c r="B108" t="s">
        <v>1148</v>
      </c>
      <c r="C108">
        <v>14.75</v>
      </c>
      <c r="D108">
        <f>VLOOKUP(A108,收盤價!A:C,3,0)</f>
        <v>24.8</v>
      </c>
      <c r="E108" s="163">
        <v>0.68135593220338986</v>
      </c>
      <c r="F108">
        <v>93.19</v>
      </c>
    </row>
    <row r="109" spans="1:6">
      <c r="A109">
        <v>4152</v>
      </c>
      <c r="B109" t="s">
        <v>367</v>
      </c>
      <c r="C109">
        <v>88.2</v>
      </c>
      <c r="D109">
        <f>VLOOKUP(A109,收盤價!A:C,3,0)</f>
        <v>148</v>
      </c>
      <c r="E109" s="163">
        <v>0.67800453514739223</v>
      </c>
      <c r="F109">
        <v>93.12</v>
      </c>
    </row>
    <row r="110" spans="1:6">
      <c r="A110">
        <v>5478</v>
      </c>
      <c r="B110" t="s">
        <v>438</v>
      </c>
      <c r="C110">
        <v>38.6</v>
      </c>
      <c r="D110">
        <f>VLOOKUP(A110,收盤價!A:C,3,0)</f>
        <v>64.599999999999994</v>
      </c>
      <c r="E110" s="163">
        <v>0.6735751295336786</v>
      </c>
      <c r="F110">
        <v>93.06</v>
      </c>
    </row>
    <row r="111" spans="1:6">
      <c r="A111">
        <v>2388</v>
      </c>
      <c r="B111" t="s">
        <v>854</v>
      </c>
      <c r="C111">
        <v>5</v>
      </c>
      <c r="D111">
        <f>VLOOKUP(A111,收盤價!A:C,3,0)</f>
        <v>8.36</v>
      </c>
      <c r="E111" s="163">
        <v>0.67199999999999993</v>
      </c>
      <c r="F111">
        <v>93</v>
      </c>
    </row>
    <row r="112" spans="1:6">
      <c r="A112">
        <v>1338</v>
      </c>
      <c r="B112" t="s">
        <v>591</v>
      </c>
      <c r="C112">
        <v>71.2</v>
      </c>
      <c r="D112">
        <f>VLOOKUP(A112,收盤價!A:C,3,0)</f>
        <v>119</v>
      </c>
      <c r="E112" s="163">
        <v>0.67134831460674149</v>
      </c>
      <c r="F112">
        <v>92.93</v>
      </c>
    </row>
    <row r="113" spans="1:6">
      <c r="A113">
        <v>3691</v>
      </c>
      <c r="B113" t="s">
        <v>1558</v>
      </c>
      <c r="C113">
        <v>438</v>
      </c>
      <c r="D113">
        <f>VLOOKUP(A113,收盤價!A:C,3,0)</f>
        <v>732</v>
      </c>
      <c r="E113" s="163">
        <v>0.67123287671232879</v>
      </c>
      <c r="F113">
        <v>92.87</v>
      </c>
    </row>
    <row r="114" spans="1:6">
      <c r="A114">
        <v>8261</v>
      </c>
      <c r="B114" t="s">
        <v>1358</v>
      </c>
      <c r="C114">
        <v>16.649999999999999</v>
      </c>
      <c r="D114">
        <f>VLOOKUP(A114,收盤價!A:C,3,0)</f>
        <v>27.7</v>
      </c>
      <c r="E114" s="163">
        <v>0.66366366366366381</v>
      </c>
      <c r="F114">
        <v>92.81</v>
      </c>
    </row>
    <row r="115" spans="1:6">
      <c r="A115">
        <v>3015</v>
      </c>
      <c r="B115" t="s">
        <v>1857</v>
      </c>
      <c r="C115">
        <v>13.8</v>
      </c>
      <c r="D115">
        <f>VLOOKUP(A115,收盤價!A:C,3,0)</f>
        <v>22.95</v>
      </c>
      <c r="E115" s="163">
        <v>0.6630434782608694</v>
      </c>
      <c r="F115">
        <v>92.74</v>
      </c>
    </row>
    <row r="116" spans="1:6">
      <c r="A116">
        <v>6170</v>
      </c>
      <c r="B116" t="s">
        <v>460</v>
      </c>
      <c r="C116">
        <v>6.12</v>
      </c>
      <c r="D116">
        <f>VLOOKUP(A116,收盤價!A:C,3,0)</f>
        <v>10.15</v>
      </c>
      <c r="E116" s="163">
        <v>0.65849673202614378</v>
      </c>
      <c r="F116">
        <v>92.68</v>
      </c>
    </row>
    <row r="117" spans="1:6">
      <c r="A117">
        <v>6290</v>
      </c>
      <c r="B117" t="s">
        <v>1764</v>
      </c>
      <c r="C117">
        <v>17.850000000000001</v>
      </c>
      <c r="D117">
        <f>VLOOKUP(A117,收盤價!A:C,3,0)</f>
        <v>29.6</v>
      </c>
      <c r="E117" s="163">
        <v>0.65826330532212884</v>
      </c>
      <c r="F117">
        <v>92.62</v>
      </c>
    </row>
    <row r="118" spans="1:6">
      <c r="A118">
        <v>3694</v>
      </c>
      <c r="B118" t="s">
        <v>1170</v>
      </c>
      <c r="C118">
        <v>10.35</v>
      </c>
      <c r="D118">
        <f>VLOOKUP(A118,收盤價!A:C,3,0)</f>
        <v>17.149999999999999</v>
      </c>
      <c r="E118" s="163">
        <v>0.65700483091787432</v>
      </c>
      <c r="F118">
        <v>92.56</v>
      </c>
    </row>
    <row r="119" spans="1:6">
      <c r="A119">
        <v>3227</v>
      </c>
      <c r="B119" t="s">
        <v>301</v>
      </c>
      <c r="C119">
        <v>48.55</v>
      </c>
      <c r="D119">
        <f>VLOOKUP(A119,收盤價!A:C,3,0)</f>
        <v>80.2</v>
      </c>
      <c r="E119" s="163">
        <v>0.65190525231719887</v>
      </c>
      <c r="F119">
        <v>92.49</v>
      </c>
    </row>
    <row r="120" spans="1:6">
      <c r="A120">
        <v>6156</v>
      </c>
      <c r="B120" t="s">
        <v>1862</v>
      </c>
      <c r="C120">
        <v>7.9</v>
      </c>
      <c r="D120">
        <f>VLOOKUP(A120,收盤價!A:C,3,0)</f>
        <v>13.05</v>
      </c>
      <c r="E120" s="163">
        <v>0.65189873417721522</v>
      </c>
      <c r="F120">
        <v>92.43</v>
      </c>
    </row>
    <row r="121" spans="1:6">
      <c r="A121">
        <v>3041</v>
      </c>
      <c r="B121" t="s">
        <v>1077</v>
      </c>
      <c r="C121">
        <v>11.4</v>
      </c>
      <c r="D121">
        <f>VLOOKUP(A121,收盤價!A:C,3,0)</f>
        <v>18.8</v>
      </c>
      <c r="E121" s="163">
        <v>0.64912280701754388</v>
      </c>
      <c r="F121">
        <v>92.37</v>
      </c>
    </row>
    <row r="122" spans="1:6">
      <c r="A122">
        <v>5483</v>
      </c>
      <c r="B122" t="s">
        <v>1680</v>
      </c>
      <c r="C122">
        <v>27.45</v>
      </c>
      <c r="D122">
        <f>VLOOKUP(A122,收盤價!A:C,3,0)</f>
        <v>45.15</v>
      </c>
      <c r="E122" s="163">
        <v>0.64480874316939885</v>
      </c>
      <c r="F122">
        <v>92.3</v>
      </c>
    </row>
    <row r="123" spans="1:6">
      <c r="A123">
        <v>1789</v>
      </c>
      <c r="B123" t="s">
        <v>731</v>
      </c>
      <c r="C123">
        <v>32.15</v>
      </c>
      <c r="D123">
        <f>VLOOKUP(A123,收盤價!A:C,3,0)</f>
        <v>52.7</v>
      </c>
      <c r="E123" s="163">
        <v>0.6391912908242614</v>
      </c>
      <c r="F123">
        <v>92.24</v>
      </c>
    </row>
    <row r="124" spans="1:6">
      <c r="A124">
        <v>2458</v>
      </c>
      <c r="B124" t="s">
        <v>905</v>
      </c>
      <c r="C124">
        <v>27.5</v>
      </c>
      <c r="D124">
        <f>VLOOKUP(A124,收盤價!A:C,3,0)</f>
        <v>45.05</v>
      </c>
      <c r="E124" s="163">
        <v>0.63818181818181807</v>
      </c>
      <c r="F124">
        <v>92.18</v>
      </c>
    </row>
    <row r="125" spans="1:6">
      <c r="A125">
        <v>3094</v>
      </c>
      <c r="B125" t="s">
        <v>1098</v>
      </c>
      <c r="C125">
        <v>16.850000000000001</v>
      </c>
      <c r="D125">
        <f>VLOOKUP(A125,收盤價!A:C,3,0)</f>
        <v>27.55</v>
      </c>
      <c r="E125" s="163">
        <v>0.63501483679525217</v>
      </c>
      <c r="F125">
        <v>92.11</v>
      </c>
    </row>
    <row r="126" spans="1:6">
      <c r="A126">
        <v>9935</v>
      </c>
      <c r="B126" t="s">
        <v>1421</v>
      </c>
      <c r="C126">
        <v>7.65</v>
      </c>
      <c r="D126">
        <f>VLOOKUP(A126,收盤價!A:C,3,0)</f>
        <v>12.45</v>
      </c>
      <c r="E126" s="163">
        <v>0.62745098039215674</v>
      </c>
      <c r="F126">
        <v>92.05</v>
      </c>
    </row>
    <row r="127" spans="1:6">
      <c r="A127">
        <v>6114</v>
      </c>
      <c r="B127" t="s">
        <v>1861</v>
      </c>
      <c r="C127">
        <v>33.4</v>
      </c>
      <c r="D127">
        <f>VLOOKUP(A127,收盤價!A:C,3,0)</f>
        <v>54.2</v>
      </c>
      <c r="E127" s="163">
        <v>0.62275449101796421</v>
      </c>
      <c r="F127">
        <v>91.99</v>
      </c>
    </row>
    <row r="128" spans="1:6">
      <c r="A128">
        <v>4137</v>
      </c>
      <c r="B128" t="s">
        <v>1183</v>
      </c>
      <c r="C128">
        <v>201.5</v>
      </c>
      <c r="D128">
        <f>VLOOKUP(A128,收盤價!A:C,3,0)</f>
        <v>326.5</v>
      </c>
      <c r="E128" s="163">
        <v>0.6203473945409429</v>
      </c>
      <c r="F128">
        <v>91.92</v>
      </c>
    </row>
    <row r="129" spans="1:6">
      <c r="A129">
        <v>3086</v>
      </c>
      <c r="B129" t="s">
        <v>1472</v>
      </c>
      <c r="C129">
        <v>7.76</v>
      </c>
      <c r="D129">
        <f>VLOOKUP(A129,收盤價!A:C,3,0)</f>
        <v>12.55</v>
      </c>
      <c r="E129" s="163">
        <v>0.61726804123711354</v>
      </c>
      <c r="F129">
        <v>91.86</v>
      </c>
    </row>
    <row r="130" spans="1:6">
      <c r="A130">
        <v>4157</v>
      </c>
      <c r="B130" t="s">
        <v>1575</v>
      </c>
      <c r="C130">
        <v>21.95</v>
      </c>
      <c r="D130">
        <f>VLOOKUP(A130,收盤價!A:C,3,0)</f>
        <v>35.450000000000003</v>
      </c>
      <c r="E130" s="163">
        <v>0.61503416856492044</v>
      </c>
      <c r="F130">
        <v>91.8</v>
      </c>
    </row>
    <row r="131" spans="1:6">
      <c r="A131">
        <v>5315</v>
      </c>
      <c r="B131" t="s">
        <v>1655</v>
      </c>
      <c r="C131">
        <v>13.6</v>
      </c>
      <c r="D131">
        <f>VLOOKUP(A131,收盤價!A:C,3,0)</f>
        <v>21.95</v>
      </c>
      <c r="E131" s="163">
        <v>0.61397058823529416</v>
      </c>
      <c r="F131">
        <v>91.74</v>
      </c>
    </row>
    <row r="132" spans="1:6">
      <c r="A132">
        <v>6182</v>
      </c>
      <c r="B132" t="s">
        <v>464</v>
      </c>
      <c r="C132">
        <v>8.09</v>
      </c>
      <c r="D132">
        <f>VLOOKUP(A132,收盤價!A:C,3,0)</f>
        <v>13.05</v>
      </c>
      <c r="E132" s="163">
        <v>0.61310259579728066</v>
      </c>
      <c r="F132">
        <v>91.67</v>
      </c>
    </row>
    <row r="133" spans="1:6">
      <c r="A133">
        <v>1566</v>
      </c>
      <c r="B133" t="s">
        <v>264</v>
      </c>
      <c r="C133">
        <v>15</v>
      </c>
      <c r="D133">
        <f>VLOOKUP(A133,收盤價!A:C,3,0)</f>
        <v>24.15</v>
      </c>
      <c r="E133" s="163">
        <v>0.60999999999999988</v>
      </c>
      <c r="F133">
        <v>91.61</v>
      </c>
    </row>
    <row r="134" spans="1:6">
      <c r="A134">
        <v>8046</v>
      </c>
      <c r="B134" t="s">
        <v>1339</v>
      </c>
      <c r="C134">
        <v>21.8</v>
      </c>
      <c r="D134">
        <f>VLOOKUP(A134,收盤價!A:C,3,0)</f>
        <v>35.049999999999997</v>
      </c>
      <c r="E134" s="163">
        <v>0.60779816513761453</v>
      </c>
      <c r="F134">
        <v>91.55</v>
      </c>
    </row>
    <row r="135" spans="1:6">
      <c r="A135">
        <v>3508</v>
      </c>
      <c r="B135" t="s">
        <v>335</v>
      </c>
      <c r="C135">
        <v>9.0500000000000007</v>
      </c>
      <c r="D135">
        <f>VLOOKUP(A135,收盤價!A:C,3,0)</f>
        <v>14.55</v>
      </c>
      <c r="E135" s="163">
        <v>0.60773480662983426</v>
      </c>
      <c r="F135">
        <v>91.48</v>
      </c>
    </row>
    <row r="136" spans="1:6">
      <c r="A136">
        <v>8210</v>
      </c>
      <c r="B136" t="s">
        <v>1353</v>
      </c>
      <c r="C136">
        <v>27.45</v>
      </c>
      <c r="D136">
        <f>VLOOKUP(A136,收盤價!A:C,3,0)</f>
        <v>44.1</v>
      </c>
      <c r="E136" s="163">
        <v>0.60655737704918045</v>
      </c>
      <c r="F136">
        <v>91.42</v>
      </c>
    </row>
    <row r="137" spans="1:6">
      <c r="A137">
        <v>4736</v>
      </c>
      <c r="B137" t="s">
        <v>392</v>
      </c>
      <c r="C137">
        <v>64.5</v>
      </c>
      <c r="D137">
        <f>VLOOKUP(A137,收盤價!A:C,3,0)</f>
        <v>103.5</v>
      </c>
      <c r="E137" s="163">
        <v>0.60465116279069764</v>
      </c>
      <c r="F137">
        <v>91.36</v>
      </c>
    </row>
    <row r="138" spans="1:6">
      <c r="A138">
        <v>3017</v>
      </c>
      <c r="B138" t="s">
        <v>1055</v>
      </c>
      <c r="C138">
        <v>18.45</v>
      </c>
      <c r="D138">
        <f>VLOOKUP(A138,收盤價!A:C,3,0)</f>
        <v>29.6</v>
      </c>
      <c r="E138" s="163">
        <v>0.60433604336043378</v>
      </c>
      <c r="F138">
        <v>91.29</v>
      </c>
    </row>
    <row r="139" spans="1:6">
      <c r="A139">
        <v>3016</v>
      </c>
      <c r="B139" t="s">
        <v>1054</v>
      </c>
      <c r="C139">
        <v>9.61</v>
      </c>
      <c r="D139">
        <f>VLOOKUP(A139,收盤價!A:C,3,0)</f>
        <v>15.4</v>
      </c>
      <c r="E139" s="163">
        <v>0.60249739854318429</v>
      </c>
      <c r="F139">
        <v>91.23</v>
      </c>
    </row>
    <row r="140" spans="1:6">
      <c r="A140">
        <v>3131</v>
      </c>
      <c r="B140" t="s">
        <v>1478</v>
      </c>
      <c r="C140">
        <v>147</v>
      </c>
      <c r="D140">
        <f>VLOOKUP(A140,收盤價!A:C,3,0)</f>
        <v>235.5</v>
      </c>
      <c r="E140" s="163">
        <v>0.60204081632653061</v>
      </c>
      <c r="F140">
        <v>91.17</v>
      </c>
    </row>
    <row r="141" spans="1:6">
      <c r="A141">
        <v>1586</v>
      </c>
      <c r="B141" t="s">
        <v>1441</v>
      </c>
      <c r="C141">
        <v>19.850000000000001</v>
      </c>
      <c r="D141">
        <f>VLOOKUP(A141,收盤價!A:C,3,0)</f>
        <v>31.8</v>
      </c>
      <c r="E141" s="163">
        <v>0.60201511335012592</v>
      </c>
      <c r="F141">
        <v>91.1</v>
      </c>
    </row>
    <row r="142" spans="1:6">
      <c r="A142">
        <v>3105</v>
      </c>
      <c r="C142">
        <v>31.35</v>
      </c>
      <c r="D142">
        <f>VLOOKUP(A142,收盤價!A:C,3,0)</f>
        <v>50.2</v>
      </c>
      <c r="E142" s="163">
        <v>0.60127591706539074</v>
      </c>
      <c r="F142">
        <v>91.04</v>
      </c>
    </row>
    <row r="143" spans="1:6">
      <c r="A143">
        <v>2236</v>
      </c>
      <c r="B143" t="s">
        <v>793</v>
      </c>
      <c r="C143">
        <v>20.8</v>
      </c>
      <c r="D143">
        <f>VLOOKUP(A143,收盤價!A:C,3,0)</f>
        <v>33.299999999999997</v>
      </c>
      <c r="E143" s="163">
        <v>0.60096153846153832</v>
      </c>
      <c r="F143">
        <v>90.98</v>
      </c>
    </row>
    <row r="144" spans="1:6">
      <c r="A144">
        <v>3452</v>
      </c>
      <c r="B144" t="s">
        <v>1518</v>
      </c>
      <c r="C144">
        <v>7.94</v>
      </c>
      <c r="D144">
        <f>VLOOKUP(A144,收盤價!A:C,3,0)</f>
        <v>12.7</v>
      </c>
      <c r="E144" s="163">
        <v>0.5994962216624683</v>
      </c>
      <c r="F144">
        <v>90.91</v>
      </c>
    </row>
    <row r="145" spans="1:6">
      <c r="A145">
        <v>3434</v>
      </c>
      <c r="B145" t="s">
        <v>327</v>
      </c>
      <c r="C145">
        <v>8.1300000000000008</v>
      </c>
      <c r="D145">
        <f>VLOOKUP(A145,收盤價!A:C,3,0)</f>
        <v>13</v>
      </c>
      <c r="E145" s="163">
        <v>0.59901599015990148</v>
      </c>
      <c r="F145">
        <v>90.85</v>
      </c>
    </row>
    <row r="146" spans="1:6">
      <c r="A146">
        <v>4142</v>
      </c>
      <c r="B146" t="s">
        <v>1185</v>
      </c>
      <c r="C146">
        <v>15.65</v>
      </c>
      <c r="D146">
        <f>VLOOKUP(A146,收盤價!A:C,3,0)</f>
        <v>25</v>
      </c>
      <c r="E146" s="163">
        <v>0.597444089456869</v>
      </c>
      <c r="F146">
        <v>90.79</v>
      </c>
    </row>
    <row r="147" spans="1:6">
      <c r="A147">
        <v>3325</v>
      </c>
      <c r="B147" t="s">
        <v>1507</v>
      </c>
      <c r="C147">
        <v>11.3</v>
      </c>
      <c r="D147">
        <f>VLOOKUP(A147,收盤價!A:C,3,0)</f>
        <v>18.05</v>
      </c>
      <c r="E147" s="163">
        <v>0.59734513274336276</v>
      </c>
      <c r="F147">
        <v>90.73</v>
      </c>
    </row>
    <row r="148" spans="1:6">
      <c r="A148">
        <v>2464</v>
      </c>
      <c r="B148" t="s">
        <v>910</v>
      </c>
      <c r="C148">
        <v>22.4</v>
      </c>
      <c r="D148">
        <f>VLOOKUP(A148,收盤價!A:C,3,0)</f>
        <v>35.75</v>
      </c>
      <c r="E148" s="163">
        <v>0.5959821428571429</v>
      </c>
      <c r="F148">
        <v>90.66</v>
      </c>
    </row>
    <row r="149" spans="1:6">
      <c r="A149">
        <v>3474</v>
      </c>
      <c r="B149" t="s">
        <v>1129</v>
      </c>
      <c r="C149">
        <v>17.399999999999999</v>
      </c>
      <c r="D149">
        <f>VLOOKUP(A149,收盤價!A:C,3,0)</f>
        <v>27.7</v>
      </c>
      <c r="E149" s="163">
        <v>0.59195402298850586</v>
      </c>
      <c r="F149">
        <v>90.6</v>
      </c>
    </row>
    <row r="150" spans="1:6">
      <c r="A150">
        <v>4919</v>
      </c>
      <c r="B150" t="s">
        <v>1208</v>
      </c>
      <c r="C150">
        <v>19.55</v>
      </c>
      <c r="D150">
        <f>VLOOKUP(A150,收盤價!A:C,3,0)</f>
        <v>31.05</v>
      </c>
      <c r="E150" s="163">
        <v>0.58823529411764708</v>
      </c>
      <c r="F150">
        <v>90.54</v>
      </c>
    </row>
    <row r="151" spans="1:6">
      <c r="A151">
        <v>5263</v>
      </c>
      <c r="B151" t="s">
        <v>1645</v>
      </c>
      <c r="C151">
        <v>211.5</v>
      </c>
      <c r="D151">
        <f>VLOOKUP(A151,收盤價!A:C,3,0)</f>
        <v>335.5</v>
      </c>
      <c r="E151" s="163">
        <v>0.58628841607565008</v>
      </c>
      <c r="F151">
        <v>90.47</v>
      </c>
    </row>
    <row r="152" spans="1:6">
      <c r="A152">
        <v>5425</v>
      </c>
      <c r="B152" t="s">
        <v>429</v>
      </c>
      <c r="C152">
        <v>21.15</v>
      </c>
      <c r="D152">
        <f>VLOOKUP(A152,收盤價!A:C,3,0)</f>
        <v>33.549999999999997</v>
      </c>
      <c r="E152" s="163">
        <v>0.58628841607565008</v>
      </c>
      <c r="F152">
        <v>90.41</v>
      </c>
    </row>
    <row r="153" spans="1:6">
      <c r="A153">
        <v>6104</v>
      </c>
      <c r="B153" t="s">
        <v>1707</v>
      </c>
      <c r="C153">
        <v>28.9</v>
      </c>
      <c r="D153">
        <f>VLOOKUP(A153,收盤價!A:C,3,0)</f>
        <v>45.8</v>
      </c>
      <c r="E153" s="163">
        <v>0.58477508650519028</v>
      </c>
      <c r="F153">
        <v>90.35</v>
      </c>
    </row>
    <row r="154" spans="1:6">
      <c r="A154">
        <v>3231</v>
      </c>
      <c r="B154" t="s">
        <v>1106</v>
      </c>
      <c r="C154">
        <v>12.5</v>
      </c>
      <c r="D154">
        <f>VLOOKUP(A154,收盤價!A:C,3,0)</f>
        <v>19.8</v>
      </c>
      <c r="E154" s="163">
        <v>0.58400000000000007</v>
      </c>
      <c r="F154">
        <v>90.28</v>
      </c>
    </row>
    <row r="155" spans="1:6">
      <c r="A155">
        <v>6414</v>
      </c>
      <c r="B155" t="s">
        <v>1320</v>
      </c>
      <c r="C155">
        <v>234.5</v>
      </c>
      <c r="D155">
        <f>VLOOKUP(A155,收盤價!A:C,3,0)</f>
        <v>371</v>
      </c>
      <c r="E155" s="163">
        <v>0.58208955223880599</v>
      </c>
      <c r="F155">
        <v>90.22</v>
      </c>
    </row>
    <row r="156" spans="1:6">
      <c r="A156">
        <v>8404</v>
      </c>
      <c r="B156" t="s">
        <v>1362</v>
      </c>
      <c r="C156">
        <v>21.7</v>
      </c>
      <c r="D156">
        <f>VLOOKUP(A156,收盤價!A:C,3,0)</f>
        <v>34.299999999999997</v>
      </c>
      <c r="E156" s="163">
        <v>0.58064516129032251</v>
      </c>
      <c r="F156">
        <v>90.16</v>
      </c>
    </row>
    <row r="157" spans="1:6">
      <c r="A157">
        <v>5266</v>
      </c>
      <c r="B157" t="s">
        <v>1646</v>
      </c>
      <c r="C157">
        <v>55.8</v>
      </c>
      <c r="D157">
        <f>VLOOKUP(A157,收盤價!A:C,3,0)</f>
        <v>88.1</v>
      </c>
      <c r="E157" s="163">
        <v>0.57885304659498205</v>
      </c>
      <c r="F157">
        <v>90.09</v>
      </c>
    </row>
    <row r="158" spans="1:6">
      <c r="A158">
        <v>6259</v>
      </c>
      <c r="B158" t="s">
        <v>485</v>
      </c>
      <c r="C158">
        <v>6.09</v>
      </c>
      <c r="D158">
        <f>VLOOKUP(A158,收盤價!A:C,3,0)</f>
        <v>9.61</v>
      </c>
      <c r="E158" s="163">
        <v>0.57799671592775037</v>
      </c>
      <c r="F158">
        <v>90.03</v>
      </c>
    </row>
    <row r="159" spans="1:6">
      <c r="A159">
        <v>6138</v>
      </c>
      <c r="B159" t="s">
        <v>1722</v>
      </c>
      <c r="C159">
        <v>15.15</v>
      </c>
      <c r="D159">
        <f>VLOOKUP(A159,收盤價!A:C,3,0)</f>
        <v>23.9</v>
      </c>
      <c r="E159" s="163">
        <v>0.57755775577557744</v>
      </c>
      <c r="F159">
        <v>89.97</v>
      </c>
    </row>
    <row r="160" spans="1:6">
      <c r="A160">
        <v>3380</v>
      </c>
      <c r="B160" t="s">
        <v>1118</v>
      </c>
      <c r="C160">
        <v>10.9</v>
      </c>
      <c r="D160">
        <f>VLOOKUP(A160,收盤價!A:C,3,0)</f>
        <v>17.149999999999999</v>
      </c>
      <c r="E160" s="163">
        <v>0.57339449541284382</v>
      </c>
      <c r="F160">
        <v>89.91</v>
      </c>
    </row>
    <row r="161" spans="1:6">
      <c r="A161">
        <v>2456</v>
      </c>
      <c r="B161" t="s">
        <v>903</v>
      </c>
      <c r="C161">
        <v>40.049999999999997</v>
      </c>
      <c r="D161">
        <f>VLOOKUP(A161,收盤價!A:C,3,0)</f>
        <v>63</v>
      </c>
      <c r="E161" s="163">
        <v>0.57303370786516861</v>
      </c>
      <c r="F161">
        <v>89.84</v>
      </c>
    </row>
    <row r="162" spans="1:6">
      <c r="A162">
        <v>2379</v>
      </c>
      <c r="B162" t="s">
        <v>848</v>
      </c>
      <c r="C162">
        <v>50.7</v>
      </c>
      <c r="D162">
        <f>VLOOKUP(A162,收盤價!A:C,3,0)</f>
        <v>79.7</v>
      </c>
      <c r="E162" s="163">
        <v>0.57199211045364884</v>
      </c>
      <c r="F162">
        <v>89.78</v>
      </c>
    </row>
    <row r="163" spans="1:6">
      <c r="A163">
        <v>2436</v>
      </c>
      <c r="B163" t="s">
        <v>887</v>
      </c>
      <c r="C163">
        <v>13.75</v>
      </c>
      <c r="D163">
        <f>VLOOKUP(A163,收盤價!A:C,3,0)</f>
        <v>21.6</v>
      </c>
      <c r="E163" s="163">
        <v>0.57090909090909103</v>
      </c>
      <c r="F163">
        <v>89.72</v>
      </c>
    </row>
    <row r="164" spans="1:6">
      <c r="A164">
        <v>3221</v>
      </c>
      <c r="B164" t="s">
        <v>1490</v>
      </c>
      <c r="C164">
        <v>11.15</v>
      </c>
      <c r="D164">
        <f>VLOOKUP(A164,收盤價!A:C,3,0)</f>
        <v>17.5</v>
      </c>
      <c r="E164" s="163">
        <v>0.56950672645739908</v>
      </c>
      <c r="F164">
        <v>89.65</v>
      </c>
    </row>
    <row r="165" spans="1:6">
      <c r="A165">
        <v>6285</v>
      </c>
      <c r="B165" t="s">
        <v>1314</v>
      </c>
      <c r="C165">
        <v>55.2</v>
      </c>
      <c r="D165">
        <f>VLOOKUP(A165,收盤價!A:C,3,0)</f>
        <v>86.5</v>
      </c>
      <c r="E165" s="163">
        <v>0.56702898550724634</v>
      </c>
      <c r="F165">
        <v>89.59</v>
      </c>
    </row>
    <row r="166" spans="1:6">
      <c r="A166">
        <v>2397</v>
      </c>
      <c r="B166" t="s">
        <v>859</v>
      </c>
      <c r="C166">
        <v>31.6</v>
      </c>
      <c r="D166">
        <f>VLOOKUP(A166,收盤價!A:C,3,0)</f>
        <v>49.45</v>
      </c>
      <c r="E166" s="163">
        <v>0.564873417721519</v>
      </c>
      <c r="F166">
        <v>89.53</v>
      </c>
    </row>
    <row r="167" spans="1:6">
      <c r="A167">
        <v>3032</v>
      </c>
      <c r="B167" t="s">
        <v>1069</v>
      </c>
      <c r="C167">
        <v>13.95</v>
      </c>
      <c r="D167">
        <f>VLOOKUP(A167,收盤價!A:C,3,0)</f>
        <v>21.75</v>
      </c>
      <c r="E167" s="163">
        <v>0.55913978494623662</v>
      </c>
      <c r="F167">
        <v>89.46</v>
      </c>
    </row>
    <row r="168" spans="1:6">
      <c r="A168">
        <v>1524</v>
      </c>
      <c r="B168" t="s">
        <v>657</v>
      </c>
      <c r="C168">
        <v>4.37</v>
      </c>
      <c r="D168">
        <f>VLOOKUP(A168,收盤價!A:C,3,0)</f>
        <v>6.81</v>
      </c>
      <c r="E168" s="163">
        <v>0.55835240274599529</v>
      </c>
      <c r="F168">
        <v>89.4</v>
      </c>
    </row>
    <row r="169" spans="1:6">
      <c r="A169">
        <v>1319</v>
      </c>
      <c r="B169" t="s">
        <v>584</v>
      </c>
      <c r="C169">
        <v>25.7</v>
      </c>
      <c r="D169">
        <f>VLOOKUP(A169,收盤價!A:C,3,0)</f>
        <v>40</v>
      </c>
      <c r="E169" s="163">
        <v>0.55642023346303504</v>
      </c>
      <c r="F169">
        <v>89.34</v>
      </c>
    </row>
    <row r="170" spans="1:6">
      <c r="A170">
        <v>1569</v>
      </c>
      <c r="B170" t="s">
        <v>265</v>
      </c>
      <c r="C170">
        <v>7.2</v>
      </c>
      <c r="D170">
        <f>VLOOKUP(A170,收盤價!A:C,3,0)</f>
        <v>11.2</v>
      </c>
      <c r="E170" s="163">
        <v>0.55555555555555547</v>
      </c>
      <c r="F170">
        <v>89.27</v>
      </c>
    </row>
    <row r="171" spans="1:6">
      <c r="A171">
        <v>910482</v>
      </c>
      <c r="B171" t="s">
        <v>1375</v>
      </c>
      <c r="C171">
        <v>1.32</v>
      </c>
      <c r="D171">
        <f>VLOOKUP(A171,收盤價!A:C,3,0)</f>
        <v>2.0499999999999998</v>
      </c>
      <c r="E171" s="163">
        <v>0.55303030303030287</v>
      </c>
      <c r="F171">
        <v>89.21</v>
      </c>
    </row>
    <row r="172" spans="1:6">
      <c r="A172">
        <v>4111</v>
      </c>
      <c r="B172" t="s">
        <v>1564</v>
      </c>
      <c r="C172">
        <v>16.25</v>
      </c>
      <c r="D172">
        <f>VLOOKUP(A172,收盤價!A:C,3,0)</f>
        <v>25.2</v>
      </c>
      <c r="E172" s="163">
        <v>0.55076923076923068</v>
      </c>
      <c r="F172">
        <v>89.15</v>
      </c>
    </row>
    <row r="173" spans="1:6">
      <c r="A173">
        <v>2356</v>
      </c>
      <c r="B173" t="s">
        <v>829</v>
      </c>
      <c r="C173">
        <v>14.15</v>
      </c>
      <c r="D173">
        <f>VLOOKUP(A173,收盤價!A:C,3,0)</f>
        <v>21.9</v>
      </c>
      <c r="E173" s="163">
        <v>0.54770318021201403</v>
      </c>
      <c r="F173">
        <v>89.09</v>
      </c>
    </row>
    <row r="174" spans="1:6">
      <c r="A174">
        <v>2499</v>
      </c>
      <c r="B174" t="s">
        <v>937</v>
      </c>
      <c r="C174">
        <v>12.7</v>
      </c>
      <c r="D174">
        <f>VLOOKUP(A174,收盤價!A:C,3,0)</f>
        <v>19.600000000000001</v>
      </c>
      <c r="E174" s="163">
        <v>0.54330708661417337</v>
      </c>
      <c r="F174">
        <v>89.02</v>
      </c>
    </row>
    <row r="175" spans="1:6">
      <c r="A175">
        <v>6167</v>
      </c>
      <c r="B175" t="s">
        <v>1731</v>
      </c>
      <c r="C175">
        <v>2.91</v>
      </c>
      <c r="D175">
        <f>VLOOKUP(A175,收盤價!A:C,3,0)</f>
        <v>4.4800000000000004</v>
      </c>
      <c r="E175" s="163">
        <v>0.53951890034364269</v>
      </c>
      <c r="F175">
        <v>88.96</v>
      </c>
    </row>
    <row r="176" spans="1:6">
      <c r="A176">
        <v>2007</v>
      </c>
      <c r="B176" t="s">
        <v>748</v>
      </c>
      <c r="C176">
        <v>3.06</v>
      </c>
      <c r="D176">
        <f>VLOOKUP(A176,收盤價!A:C,3,0)</f>
        <v>4.71</v>
      </c>
      <c r="E176" s="163">
        <v>0.53921568627450978</v>
      </c>
      <c r="F176">
        <v>88.9</v>
      </c>
    </row>
    <row r="177" spans="1:6">
      <c r="A177">
        <v>5469</v>
      </c>
      <c r="B177" t="s">
        <v>1238</v>
      </c>
      <c r="C177">
        <v>7.1</v>
      </c>
      <c r="D177">
        <f>VLOOKUP(A177,收盤價!A:C,3,0)</f>
        <v>10.9</v>
      </c>
      <c r="E177" s="163">
        <v>0.53521126760563398</v>
      </c>
      <c r="F177">
        <v>88.83</v>
      </c>
    </row>
    <row r="178" spans="1:6">
      <c r="A178">
        <v>3236</v>
      </c>
      <c r="B178" t="s">
        <v>305</v>
      </c>
      <c r="C178">
        <v>8.2100000000000009</v>
      </c>
      <c r="D178">
        <f>VLOOKUP(A178,收盤價!A:C,3,0)</f>
        <v>12.6</v>
      </c>
      <c r="E178" s="163">
        <v>0.53471376370280121</v>
      </c>
      <c r="F178">
        <v>88.77</v>
      </c>
    </row>
    <row r="179" spans="1:6">
      <c r="A179">
        <v>4164</v>
      </c>
      <c r="B179" t="s">
        <v>1187</v>
      </c>
      <c r="C179">
        <v>38.200000000000003</v>
      </c>
      <c r="D179">
        <f>VLOOKUP(A179,收盤價!A:C,3,0)</f>
        <v>58.6</v>
      </c>
      <c r="E179" s="163">
        <v>0.53403141361256534</v>
      </c>
      <c r="F179">
        <v>88.71</v>
      </c>
    </row>
    <row r="180" spans="1:6">
      <c r="A180">
        <v>5498</v>
      </c>
      <c r="B180" t="s">
        <v>1685</v>
      </c>
      <c r="C180">
        <v>6.6</v>
      </c>
      <c r="D180">
        <f>VLOOKUP(A180,收盤價!A:C,3,0)</f>
        <v>10.1</v>
      </c>
      <c r="E180" s="163">
        <v>0.53030303030303028</v>
      </c>
      <c r="F180">
        <v>88.64</v>
      </c>
    </row>
    <row r="181" spans="1:6">
      <c r="A181">
        <v>6451</v>
      </c>
      <c r="B181" t="s">
        <v>1327</v>
      </c>
      <c r="C181">
        <v>82.4</v>
      </c>
      <c r="D181">
        <f>VLOOKUP(A181,收盤價!A:C,3,0)</f>
        <v>126</v>
      </c>
      <c r="E181" s="163">
        <v>0.52912621359223289</v>
      </c>
      <c r="F181">
        <v>88.58</v>
      </c>
    </row>
    <row r="182" spans="1:6">
      <c r="A182">
        <v>6243</v>
      </c>
      <c r="B182" t="s">
        <v>1304</v>
      </c>
      <c r="C182">
        <v>10.9</v>
      </c>
      <c r="D182">
        <f>VLOOKUP(A182,收盤價!A:C,3,0)</f>
        <v>16.649999999999999</v>
      </c>
      <c r="E182" s="163">
        <v>0.52752293577981635</v>
      </c>
      <c r="F182">
        <v>88.52</v>
      </c>
    </row>
    <row r="183" spans="1:6">
      <c r="A183">
        <v>8341</v>
      </c>
      <c r="B183" t="s">
        <v>1360</v>
      </c>
      <c r="C183">
        <v>80.2</v>
      </c>
      <c r="D183">
        <f>VLOOKUP(A183,收盤價!A:C,3,0)</f>
        <v>122.5</v>
      </c>
      <c r="E183" s="163">
        <v>0.527431421446384</v>
      </c>
      <c r="F183">
        <v>88.45</v>
      </c>
    </row>
    <row r="184" spans="1:6">
      <c r="A184">
        <v>1762</v>
      </c>
      <c r="B184" t="s">
        <v>727</v>
      </c>
      <c r="C184">
        <v>25.65</v>
      </c>
      <c r="D184">
        <f>VLOOKUP(A184,收盤價!A:C,3,0)</f>
        <v>39.15</v>
      </c>
      <c r="E184" s="163">
        <v>0.52631578947368429</v>
      </c>
      <c r="F184">
        <v>88.39</v>
      </c>
    </row>
    <row r="185" spans="1:6">
      <c r="A185">
        <v>6168</v>
      </c>
      <c r="B185" t="s">
        <v>1278</v>
      </c>
      <c r="C185">
        <v>9.2200000000000006</v>
      </c>
      <c r="D185">
        <f>VLOOKUP(A185,收盤價!A:C,3,0)</f>
        <v>14.05</v>
      </c>
      <c r="E185" s="163">
        <v>0.52386117136659438</v>
      </c>
      <c r="F185">
        <v>88.33</v>
      </c>
    </row>
    <row r="186" spans="1:6">
      <c r="A186">
        <v>5215</v>
      </c>
      <c r="B186" t="s">
        <v>1226</v>
      </c>
      <c r="C186">
        <v>26.65</v>
      </c>
      <c r="D186">
        <f>VLOOKUP(A186,收盤價!A:C,3,0)</f>
        <v>40.6</v>
      </c>
      <c r="E186" s="163">
        <v>0.52345215759849917</v>
      </c>
      <c r="F186">
        <v>88.26</v>
      </c>
    </row>
    <row r="187" spans="1:6">
      <c r="A187">
        <v>1310</v>
      </c>
      <c r="B187" t="s">
        <v>577</v>
      </c>
      <c r="C187">
        <v>11.3</v>
      </c>
      <c r="D187">
        <f>VLOOKUP(A187,收盤價!A:C,3,0)</f>
        <v>17.2</v>
      </c>
      <c r="E187" s="163">
        <v>0.52212389380530955</v>
      </c>
      <c r="F187">
        <v>88.2</v>
      </c>
    </row>
    <row r="188" spans="1:6">
      <c r="A188">
        <v>2614</v>
      </c>
      <c r="B188" t="s">
        <v>977</v>
      </c>
      <c r="C188">
        <v>4.5199999999999996</v>
      </c>
      <c r="D188">
        <f>VLOOKUP(A188,收盤價!A:C,3,0)</f>
        <v>6.87</v>
      </c>
      <c r="E188" s="163">
        <v>0.51991150442477896</v>
      </c>
      <c r="F188">
        <v>88.14</v>
      </c>
    </row>
    <row r="189" spans="1:6">
      <c r="A189">
        <v>8069</v>
      </c>
      <c r="B189" t="s">
        <v>1790</v>
      </c>
      <c r="C189">
        <v>10.35</v>
      </c>
      <c r="D189">
        <f>VLOOKUP(A189,收盤價!A:C,3,0)</f>
        <v>15.7</v>
      </c>
      <c r="E189" s="163">
        <v>0.51690821256038644</v>
      </c>
      <c r="F189">
        <v>88.08</v>
      </c>
    </row>
    <row r="190" spans="1:6">
      <c r="A190">
        <v>6227</v>
      </c>
      <c r="B190" t="s">
        <v>474</v>
      </c>
      <c r="C190">
        <v>11.65</v>
      </c>
      <c r="D190">
        <f>VLOOKUP(A190,收盤價!A:C,3,0)</f>
        <v>17.649999999999999</v>
      </c>
      <c r="E190" s="163">
        <v>0.51502145922746767</v>
      </c>
      <c r="F190">
        <v>88.01</v>
      </c>
    </row>
    <row r="191" spans="1:6">
      <c r="A191">
        <v>2495</v>
      </c>
      <c r="B191" t="s">
        <v>933</v>
      </c>
      <c r="C191">
        <v>11.75</v>
      </c>
      <c r="D191">
        <f>VLOOKUP(A191,收盤價!A:C,3,0)</f>
        <v>17.8</v>
      </c>
      <c r="E191" s="163">
        <v>0.51489361702127667</v>
      </c>
      <c r="F191">
        <v>87.95</v>
      </c>
    </row>
    <row r="192" spans="1:6">
      <c r="A192">
        <v>3541</v>
      </c>
      <c r="B192" t="s">
        <v>1533</v>
      </c>
      <c r="C192">
        <v>42.4</v>
      </c>
      <c r="D192">
        <f>VLOOKUP(A192,收盤價!A:C,3,0)</f>
        <v>64.2</v>
      </c>
      <c r="E192" s="163">
        <v>0.51415094339622658</v>
      </c>
      <c r="F192">
        <v>87.89</v>
      </c>
    </row>
    <row r="193" spans="1:6">
      <c r="A193">
        <v>3004</v>
      </c>
      <c r="B193" t="s">
        <v>1046</v>
      </c>
      <c r="C193">
        <v>36.6</v>
      </c>
      <c r="D193">
        <f>VLOOKUP(A193,收盤價!A:C,3,0)</f>
        <v>55.3</v>
      </c>
      <c r="E193" s="163">
        <v>0.51092896174863378</v>
      </c>
      <c r="F193">
        <v>87.82</v>
      </c>
    </row>
    <row r="194" spans="1:6">
      <c r="A194">
        <v>8215</v>
      </c>
      <c r="B194" t="s">
        <v>1355</v>
      </c>
      <c r="C194">
        <v>13.85</v>
      </c>
      <c r="D194">
        <f>VLOOKUP(A194,收盤價!A:C,3,0)</f>
        <v>20.9</v>
      </c>
      <c r="E194" s="163">
        <v>0.50902527075812265</v>
      </c>
      <c r="F194">
        <v>87.76</v>
      </c>
    </row>
    <row r="195" spans="1:6">
      <c r="A195">
        <v>6150</v>
      </c>
      <c r="B195" t="s">
        <v>1728</v>
      </c>
      <c r="C195">
        <v>4.5</v>
      </c>
      <c r="D195">
        <f>VLOOKUP(A195,收盤價!A:C,3,0)</f>
        <v>6.79</v>
      </c>
      <c r="E195" s="163">
        <v>0.50888888888888895</v>
      </c>
      <c r="F195">
        <v>87.7</v>
      </c>
    </row>
    <row r="196" spans="1:6">
      <c r="A196">
        <v>4905</v>
      </c>
      <c r="B196" t="s">
        <v>1620</v>
      </c>
      <c r="C196">
        <v>31.5</v>
      </c>
      <c r="D196">
        <f>VLOOKUP(A196,收盤價!A:C,3,0)</f>
        <v>47.45</v>
      </c>
      <c r="E196" s="163">
        <v>0.50634920634920644</v>
      </c>
      <c r="F196">
        <v>87.63</v>
      </c>
    </row>
    <row r="197" spans="1:6">
      <c r="A197">
        <v>4105</v>
      </c>
      <c r="B197" t="s">
        <v>1561</v>
      </c>
      <c r="C197">
        <v>76.099999999999994</v>
      </c>
      <c r="D197">
        <f>VLOOKUP(A197,收盤價!A:C,3,0)</f>
        <v>114.5</v>
      </c>
      <c r="E197" s="163">
        <v>0.504599211563732</v>
      </c>
      <c r="F197">
        <v>87.57</v>
      </c>
    </row>
    <row r="198" spans="1:6">
      <c r="A198">
        <v>6188</v>
      </c>
      <c r="B198" t="s">
        <v>1738</v>
      </c>
      <c r="C198">
        <v>17.05</v>
      </c>
      <c r="D198">
        <f>VLOOKUP(A198,收盤價!A:C,3,0)</f>
        <v>25.65</v>
      </c>
      <c r="E198" s="163">
        <v>0.50439882697947203</v>
      </c>
      <c r="F198">
        <v>87.51</v>
      </c>
    </row>
    <row r="199" spans="1:6">
      <c r="A199">
        <v>3615</v>
      </c>
      <c r="B199" t="s">
        <v>1544</v>
      </c>
      <c r="C199">
        <v>13.15</v>
      </c>
      <c r="D199">
        <f>VLOOKUP(A199,收盤價!A:C,3,0)</f>
        <v>19.75</v>
      </c>
      <c r="E199" s="163">
        <v>0.50190114068441061</v>
      </c>
      <c r="F199">
        <v>87.44</v>
      </c>
    </row>
    <row r="200" spans="1:6">
      <c r="A200">
        <v>3535</v>
      </c>
      <c r="B200" t="s">
        <v>1140</v>
      </c>
      <c r="C200">
        <v>6.03</v>
      </c>
      <c r="D200">
        <f>VLOOKUP(A200,收盤價!A:C,3,0)</f>
        <v>9.0500000000000007</v>
      </c>
      <c r="E200" s="163">
        <v>0.50082918739635163</v>
      </c>
      <c r="F200">
        <v>87.38</v>
      </c>
    </row>
    <row r="201" spans="1:6">
      <c r="A201">
        <v>6233</v>
      </c>
      <c r="B201" t="s">
        <v>1751</v>
      </c>
      <c r="C201">
        <v>9.4499999999999993</v>
      </c>
      <c r="D201">
        <f>VLOOKUP(A201,收盤價!A:C,3,0)</f>
        <v>14.15</v>
      </c>
      <c r="E201" s="163">
        <v>0.49735449735449749</v>
      </c>
      <c r="F201">
        <v>87.32</v>
      </c>
    </row>
    <row r="202" spans="1:6">
      <c r="A202">
        <v>3611</v>
      </c>
      <c r="B202" t="s">
        <v>350</v>
      </c>
      <c r="C202">
        <v>210</v>
      </c>
      <c r="D202">
        <f>VLOOKUP(A202,收盤價!A:C,3,0)</f>
        <v>313.5</v>
      </c>
      <c r="E202" s="163">
        <v>0.49285714285714288</v>
      </c>
      <c r="F202">
        <v>87.26</v>
      </c>
    </row>
    <row r="203" spans="1:6">
      <c r="A203">
        <v>1720</v>
      </c>
      <c r="B203" t="s">
        <v>710</v>
      </c>
      <c r="C203">
        <v>25.1</v>
      </c>
      <c r="D203">
        <f>VLOOKUP(A203,收盤價!A:C,3,0)</f>
        <v>37.450000000000003</v>
      </c>
      <c r="E203" s="163">
        <v>0.49203187250996017</v>
      </c>
      <c r="F203">
        <v>87.19</v>
      </c>
    </row>
    <row r="204" spans="1:6">
      <c r="A204">
        <v>2428</v>
      </c>
      <c r="B204" t="s">
        <v>881</v>
      </c>
      <c r="C204">
        <v>35.950000000000003</v>
      </c>
      <c r="D204">
        <f>VLOOKUP(A204,收盤價!A:C,3,0)</f>
        <v>53.6</v>
      </c>
      <c r="E204" s="163">
        <v>0.49095966620305975</v>
      </c>
      <c r="F204">
        <v>87.13</v>
      </c>
    </row>
    <row r="205" spans="1:6">
      <c r="A205">
        <v>4743</v>
      </c>
      <c r="B205" t="s">
        <v>1616</v>
      </c>
      <c r="C205">
        <v>25.5</v>
      </c>
      <c r="D205">
        <f>VLOOKUP(A205,收盤價!A:C,3,0)</f>
        <v>38</v>
      </c>
      <c r="E205" s="163">
        <v>0.49019607843137253</v>
      </c>
      <c r="F205">
        <v>87.07</v>
      </c>
    </row>
    <row r="206" spans="1:6">
      <c r="A206">
        <v>3483</v>
      </c>
      <c r="B206" t="s">
        <v>330</v>
      </c>
      <c r="C206">
        <v>8.8000000000000007</v>
      </c>
      <c r="D206">
        <f>VLOOKUP(A206,收盤價!A:C,3,0)</f>
        <v>13.1</v>
      </c>
      <c r="E206" s="163">
        <v>0.48863636363636348</v>
      </c>
      <c r="F206">
        <v>87</v>
      </c>
    </row>
    <row r="207" spans="1:6">
      <c r="A207">
        <v>2376</v>
      </c>
      <c r="B207" t="s">
        <v>846</v>
      </c>
      <c r="C207">
        <v>24.75</v>
      </c>
      <c r="D207">
        <f>VLOOKUP(A207,收盤價!A:C,3,0)</f>
        <v>36.75</v>
      </c>
      <c r="E207" s="163">
        <v>0.48484848484848486</v>
      </c>
      <c r="F207">
        <v>86.94</v>
      </c>
    </row>
    <row r="208" spans="1:6">
      <c r="A208">
        <v>6160</v>
      </c>
      <c r="B208" t="s">
        <v>1730</v>
      </c>
      <c r="C208">
        <v>11.45</v>
      </c>
      <c r="D208">
        <f>VLOOKUP(A208,收盤價!A:C,3,0)</f>
        <v>17</v>
      </c>
      <c r="E208" s="163">
        <v>0.48471615720524025</v>
      </c>
      <c r="F208">
        <v>86.88</v>
      </c>
    </row>
    <row r="209" spans="1:6">
      <c r="A209">
        <v>3419</v>
      </c>
      <c r="B209" t="s">
        <v>1123</v>
      </c>
      <c r="C209">
        <v>10.45</v>
      </c>
      <c r="D209">
        <f>VLOOKUP(A209,收盤價!A:C,3,0)</f>
        <v>15.5</v>
      </c>
      <c r="E209" s="163">
        <v>0.48325358851674649</v>
      </c>
      <c r="F209">
        <v>86.81</v>
      </c>
    </row>
    <row r="210" spans="1:6">
      <c r="A210">
        <v>6116</v>
      </c>
      <c r="B210" t="s">
        <v>1261</v>
      </c>
      <c r="C210">
        <v>2.65</v>
      </c>
      <c r="D210">
        <f>VLOOKUP(A210,收盤價!A:C,3,0)</f>
        <v>3.93</v>
      </c>
      <c r="E210" s="163">
        <v>0.48301886792452842</v>
      </c>
      <c r="F210">
        <v>86.75</v>
      </c>
    </row>
    <row r="211" spans="1:6">
      <c r="A211">
        <v>3406</v>
      </c>
      <c r="B211" t="s">
        <v>1120</v>
      </c>
      <c r="C211">
        <v>40.950000000000003</v>
      </c>
      <c r="D211">
        <f>VLOOKUP(A211,收盤價!A:C,3,0)</f>
        <v>60.7</v>
      </c>
      <c r="E211" s="163">
        <v>0.48229548229548225</v>
      </c>
      <c r="F211">
        <v>86.69</v>
      </c>
    </row>
    <row r="212" spans="1:6">
      <c r="A212">
        <v>8049</v>
      </c>
      <c r="B212" t="s">
        <v>1784</v>
      </c>
      <c r="C212">
        <v>6.92</v>
      </c>
      <c r="D212">
        <f>VLOOKUP(A212,收盤價!A:C,3,0)</f>
        <v>10.25</v>
      </c>
      <c r="E212" s="163">
        <v>0.48121387283236994</v>
      </c>
      <c r="F212">
        <v>86.62</v>
      </c>
    </row>
    <row r="213" spans="1:6">
      <c r="A213">
        <v>2363</v>
      </c>
      <c r="B213" t="s">
        <v>836</v>
      </c>
      <c r="C213">
        <v>4.7300000000000004</v>
      </c>
      <c r="D213">
        <f>VLOOKUP(A213,收盤價!A:C,3,0)</f>
        <v>6.98</v>
      </c>
      <c r="E213" s="163">
        <v>0.47568710359408028</v>
      </c>
      <c r="F213">
        <v>86.56</v>
      </c>
    </row>
    <row r="214" spans="1:6">
      <c r="A214">
        <v>1799</v>
      </c>
      <c r="B214" t="s">
        <v>1858</v>
      </c>
      <c r="C214">
        <v>23.25</v>
      </c>
      <c r="D214">
        <f>VLOOKUP(A214,收盤價!A:C,3,0)</f>
        <v>34.299999999999997</v>
      </c>
      <c r="E214" s="163">
        <v>0.47526881720430098</v>
      </c>
      <c r="F214">
        <v>86.5</v>
      </c>
    </row>
    <row r="215" spans="1:6">
      <c r="A215">
        <v>3257</v>
      </c>
      <c r="B215" t="s">
        <v>1107</v>
      </c>
      <c r="C215">
        <v>33</v>
      </c>
      <c r="D215">
        <f>VLOOKUP(A215,收盤價!A:C,3,0)</f>
        <v>48.65</v>
      </c>
      <c r="E215" s="163">
        <v>0.47424242424242419</v>
      </c>
      <c r="F215">
        <v>86.44</v>
      </c>
    </row>
    <row r="216" spans="1:6">
      <c r="A216">
        <v>3234</v>
      </c>
      <c r="B216" t="s">
        <v>304</v>
      </c>
      <c r="C216">
        <v>60.5</v>
      </c>
      <c r="D216">
        <f>VLOOKUP(A216,收盤價!A:C,3,0)</f>
        <v>89</v>
      </c>
      <c r="E216" s="163">
        <v>0.47107438016528924</v>
      </c>
      <c r="F216">
        <v>86.37</v>
      </c>
    </row>
    <row r="217" spans="1:6">
      <c r="A217">
        <v>3632</v>
      </c>
      <c r="B217" t="s">
        <v>1547</v>
      </c>
      <c r="C217">
        <v>20.2</v>
      </c>
      <c r="D217">
        <f>VLOOKUP(A217,收盤價!A:C,3,0)</f>
        <v>29.7</v>
      </c>
      <c r="E217" s="163">
        <v>0.47029702970297033</v>
      </c>
      <c r="F217">
        <v>86.31</v>
      </c>
    </row>
    <row r="218" spans="1:6">
      <c r="A218">
        <v>1464</v>
      </c>
      <c r="B218" t="s">
        <v>630</v>
      </c>
      <c r="C218">
        <v>22.5</v>
      </c>
      <c r="D218">
        <f>VLOOKUP(A218,收盤價!A:C,3,0)</f>
        <v>33.049999999999997</v>
      </c>
      <c r="E218" s="163">
        <v>0.46888888888888874</v>
      </c>
      <c r="F218">
        <v>86.25</v>
      </c>
    </row>
    <row r="219" spans="1:6">
      <c r="A219">
        <v>1737</v>
      </c>
      <c r="B219" t="s">
        <v>726</v>
      </c>
      <c r="C219">
        <v>18.350000000000001</v>
      </c>
      <c r="D219">
        <f>VLOOKUP(A219,收盤價!A:C,3,0)</f>
        <v>26.95</v>
      </c>
      <c r="E219" s="163">
        <v>0.46866485013623965</v>
      </c>
      <c r="F219">
        <v>86.18</v>
      </c>
    </row>
    <row r="220" spans="1:6">
      <c r="A220">
        <v>6196</v>
      </c>
      <c r="B220" t="s">
        <v>1287</v>
      </c>
      <c r="C220">
        <v>16.25</v>
      </c>
      <c r="D220">
        <f>VLOOKUP(A220,收盤價!A:C,3,0)</f>
        <v>23.85</v>
      </c>
      <c r="E220" s="163">
        <v>0.4676923076923078</v>
      </c>
      <c r="F220">
        <v>86.12</v>
      </c>
    </row>
    <row r="221" spans="1:6">
      <c r="A221">
        <v>5225</v>
      </c>
      <c r="B221" t="s">
        <v>1227</v>
      </c>
      <c r="C221">
        <v>33.5</v>
      </c>
      <c r="D221">
        <f>VLOOKUP(A221,收盤價!A:C,3,0)</f>
        <v>49.15</v>
      </c>
      <c r="E221" s="163">
        <v>0.46716417910447755</v>
      </c>
      <c r="F221">
        <v>86.06</v>
      </c>
    </row>
    <row r="222" spans="1:6">
      <c r="A222">
        <v>4163</v>
      </c>
      <c r="B222" t="s">
        <v>1578</v>
      </c>
      <c r="C222">
        <v>84.9</v>
      </c>
      <c r="D222">
        <f>VLOOKUP(A222,收盤價!A:C,3,0)</f>
        <v>124.5</v>
      </c>
      <c r="E222" s="163">
        <v>0.46643109540636035</v>
      </c>
      <c r="F222">
        <v>85.99</v>
      </c>
    </row>
    <row r="223" spans="1:6">
      <c r="A223">
        <v>1817</v>
      </c>
      <c r="B223" t="s">
        <v>738</v>
      </c>
      <c r="C223">
        <v>28</v>
      </c>
      <c r="D223">
        <f>VLOOKUP(A223,收盤價!A:C,3,0)</f>
        <v>40.950000000000003</v>
      </c>
      <c r="E223" s="163">
        <v>0.46250000000000008</v>
      </c>
      <c r="F223">
        <v>85.93</v>
      </c>
    </row>
    <row r="224" spans="1:6">
      <c r="A224">
        <v>2911</v>
      </c>
      <c r="B224" t="s">
        <v>1038</v>
      </c>
      <c r="C224">
        <v>12.45</v>
      </c>
      <c r="D224">
        <f>VLOOKUP(A224,收盤價!A:C,3,0)</f>
        <v>18.2</v>
      </c>
      <c r="E224" s="163">
        <v>0.46184738955823296</v>
      </c>
      <c r="F224">
        <v>85.87</v>
      </c>
    </row>
    <row r="225" spans="1:6">
      <c r="A225">
        <v>4944</v>
      </c>
      <c r="B225" t="s">
        <v>1624</v>
      </c>
      <c r="C225">
        <v>8.59</v>
      </c>
      <c r="D225">
        <f>VLOOKUP(A225,收盤價!A:C,3,0)</f>
        <v>12.55</v>
      </c>
      <c r="E225" s="163">
        <v>0.46100116414435399</v>
      </c>
      <c r="F225">
        <v>85.8</v>
      </c>
    </row>
    <row r="226" spans="1:6">
      <c r="A226">
        <v>4402</v>
      </c>
      <c r="B226" t="s">
        <v>377</v>
      </c>
      <c r="C226">
        <v>3.56</v>
      </c>
      <c r="D226">
        <f>VLOOKUP(A226,收盤價!A:C,3,0)</f>
        <v>5.2</v>
      </c>
      <c r="E226" s="163">
        <v>0.4606741573033708</v>
      </c>
      <c r="F226">
        <v>85.74</v>
      </c>
    </row>
    <row r="227" spans="1:6">
      <c r="A227">
        <v>3520</v>
      </c>
      <c r="B227" t="s">
        <v>1526</v>
      </c>
      <c r="C227">
        <v>72</v>
      </c>
      <c r="D227">
        <f>VLOOKUP(A227,收盤價!A:C,3,0)</f>
        <v>105</v>
      </c>
      <c r="E227" s="163">
        <v>0.45833333333333331</v>
      </c>
      <c r="F227">
        <v>85.68</v>
      </c>
    </row>
    <row r="228" spans="1:6">
      <c r="A228">
        <v>8234</v>
      </c>
      <c r="B228" t="s">
        <v>511</v>
      </c>
      <c r="C228">
        <v>21.6</v>
      </c>
      <c r="D228">
        <f>VLOOKUP(A228,收盤價!A:C,3,0)</f>
        <v>31.5</v>
      </c>
      <c r="E228" s="163">
        <v>0.45833333333333326</v>
      </c>
      <c r="F228">
        <v>85.62</v>
      </c>
    </row>
    <row r="229" spans="1:6">
      <c r="A229">
        <v>3532</v>
      </c>
      <c r="B229" t="s">
        <v>1138</v>
      </c>
      <c r="C229">
        <v>24.65</v>
      </c>
      <c r="D229">
        <f>VLOOKUP(A229,收盤價!A:C,3,0)</f>
        <v>35.9</v>
      </c>
      <c r="E229" s="163">
        <v>0.45638945233265721</v>
      </c>
      <c r="F229">
        <v>85.55</v>
      </c>
    </row>
    <row r="230" spans="1:6">
      <c r="A230">
        <v>4419</v>
      </c>
      <c r="B230" t="s">
        <v>1592</v>
      </c>
      <c r="C230">
        <v>4.92</v>
      </c>
      <c r="D230">
        <f>VLOOKUP(A230,收盤價!A:C,3,0)</f>
        <v>7.16</v>
      </c>
      <c r="E230" s="163">
        <v>0.45528455284552849</v>
      </c>
      <c r="F230">
        <v>85.49</v>
      </c>
    </row>
    <row r="231" spans="1:6">
      <c r="A231">
        <v>2723</v>
      </c>
      <c r="B231" t="s">
        <v>993</v>
      </c>
      <c r="C231">
        <v>161.5</v>
      </c>
      <c r="D231">
        <f>VLOOKUP(A231,收盤價!A:C,3,0)</f>
        <v>235</v>
      </c>
      <c r="E231" s="163">
        <v>0.45510835913312692</v>
      </c>
      <c r="F231">
        <v>85.43</v>
      </c>
    </row>
    <row r="232" spans="1:6">
      <c r="A232">
        <v>3533</v>
      </c>
      <c r="B232" t="s">
        <v>1139</v>
      </c>
      <c r="C232">
        <v>86.3</v>
      </c>
      <c r="D232">
        <f>VLOOKUP(A232,收盤價!A:C,3,0)</f>
        <v>125.5</v>
      </c>
      <c r="E232" s="163">
        <v>0.45422943221320977</v>
      </c>
      <c r="F232">
        <v>85.36</v>
      </c>
    </row>
    <row r="233" spans="1:6">
      <c r="A233">
        <v>5351</v>
      </c>
      <c r="B233" t="s">
        <v>1662</v>
      </c>
      <c r="C233">
        <v>9.6300000000000008</v>
      </c>
      <c r="D233">
        <f>VLOOKUP(A233,收盤價!A:C,3,0)</f>
        <v>14</v>
      </c>
      <c r="E233" s="163">
        <v>0.45379023883696767</v>
      </c>
      <c r="F233">
        <v>85.3</v>
      </c>
    </row>
    <row r="234" spans="1:6">
      <c r="A234">
        <v>2367</v>
      </c>
      <c r="B234" t="s">
        <v>839</v>
      </c>
      <c r="C234">
        <v>9.15</v>
      </c>
      <c r="D234">
        <f>VLOOKUP(A234,收盤價!A:C,3,0)</f>
        <v>13.3</v>
      </c>
      <c r="E234" s="163">
        <v>0.45355191256830601</v>
      </c>
      <c r="F234">
        <v>85.24</v>
      </c>
    </row>
    <row r="235" spans="1:6">
      <c r="A235">
        <v>2431</v>
      </c>
      <c r="B235" t="s">
        <v>884</v>
      </c>
      <c r="C235">
        <v>10.15</v>
      </c>
      <c r="D235">
        <f>VLOOKUP(A235,收盤價!A:C,3,0)</f>
        <v>14.75</v>
      </c>
      <c r="E235" s="163">
        <v>0.4532019704433497</v>
      </c>
      <c r="F235">
        <v>85.17</v>
      </c>
    </row>
    <row r="236" spans="1:6">
      <c r="A236">
        <v>5438</v>
      </c>
      <c r="B236" t="s">
        <v>1672</v>
      </c>
      <c r="C236">
        <v>9.0500000000000007</v>
      </c>
      <c r="D236">
        <f>VLOOKUP(A236,收盤價!A:C,3,0)</f>
        <v>13.15</v>
      </c>
      <c r="E236" s="163">
        <v>0.45303867403314907</v>
      </c>
      <c r="F236">
        <v>85.11</v>
      </c>
    </row>
    <row r="237" spans="1:6">
      <c r="A237">
        <v>2926</v>
      </c>
      <c r="B237" t="s">
        <v>1464</v>
      </c>
      <c r="C237">
        <v>147</v>
      </c>
      <c r="D237">
        <f>VLOOKUP(A237,收盤價!A:C,3,0)</f>
        <v>213.5</v>
      </c>
      <c r="E237" s="163">
        <v>0.45238095238095238</v>
      </c>
      <c r="F237">
        <v>85.05</v>
      </c>
    </row>
    <row r="238" spans="1:6">
      <c r="A238">
        <v>4102</v>
      </c>
      <c r="B238" t="s">
        <v>1559</v>
      </c>
      <c r="C238">
        <v>15.9</v>
      </c>
      <c r="D238">
        <f>VLOOKUP(A238,收盤價!A:C,3,0)</f>
        <v>23.05</v>
      </c>
      <c r="E238" s="163">
        <v>0.44968553459119498</v>
      </c>
      <c r="F238">
        <v>84.98</v>
      </c>
    </row>
    <row r="239" spans="1:6">
      <c r="A239">
        <v>2404</v>
      </c>
      <c r="B239" t="s">
        <v>863</v>
      </c>
      <c r="C239">
        <v>29</v>
      </c>
      <c r="D239">
        <f>VLOOKUP(A239,收盤價!A:C,3,0)</f>
        <v>41.95</v>
      </c>
      <c r="E239" s="163">
        <v>0.44655172413793115</v>
      </c>
      <c r="F239">
        <v>84.92</v>
      </c>
    </row>
    <row r="240" spans="1:6">
      <c r="A240">
        <v>8409</v>
      </c>
      <c r="B240" t="s">
        <v>1827</v>
      </c>
      <c r="C240">
        <v>21.5</v>
      </c>
      <c r="D240">
        <f>VLOOKUP(A240,收盤價!A:C,3,0)</f>
        <v>31.1</v>
      </c>
      <c r="E240" s="163">
        <v>0.44651162790697679</v>
      </c>
      <c r="F240">
        <v>84.86</v>
      </c>
    </row>
    <row r="241" spans="1:6">
      <c r="A241">
        <v>9945</v>
      </c>
      <c r="B241" t="s">
        <v>1430</v>
      </c>
      <c r="C241">
        <v>30.15</v>
      </c>
      <c r="D241">
        <f>VLOOKUP(A241,收盤價!A:C,3,0)</f>
        <v>43.6</v>
      </c>
      <c r="E241" s="163">
        <v>0.44610281923714773</v>
      </c>
      <c r="F241">
        <v>84.79</v>
      </c>
    </row>
    <row r="242" spans="1:6">
      <c r="A242">
        <v>6426</v>
      </c>
      <c r="B242" t="s">
        <v>493</v>
      </c>
      <c r="C242">
        <v>25.2</v>
      </c>
      <c r="D242">
        <f>VLOOKUP(A242,收盤價!A:C,3,0)</f>
        <v>36.4</v>
      </c>
      <c r="E242" s="163">
        <v>0.44444444444444442</v>
      </c>
      <c r="F242">
        <v>84.73</v>
      </c>
    </row>
    <row r="243" spans="1:6">
      <c r="A243">
        <v>3373</v>
      </c>
      <c r="B243" t="s">
        <v>323</v>
      </c>
      <c r="C243">
        <v>16.899999999999999</v>
      </c>
      <c r="D243">
        <f>VLOOKUP(A243,收盤價!A:C,3,0)</f>
        <v>24.4</v>
      </c>
      <c r="E243" s="163">
        <v>0.44378698224852076</v>
      </c>
      <c r="F243">
        <v>84.67</v>
      </c>
    </row>
    <row r="244" spans="1:6">
      <c r="A244">
        <v>8079</v>
      </c>
      <c r="B244" t="s">
        <v>1794</v>
      </c>
      <c r="C244">
        <v>11.95</v>
      </c>
      <c r="D244">
        <f>VLOOKUP(A244,收盤價!A:C,3,0)</f>
        <v>17.25</v>
      </c>
      <c r="E244" s="163">
        <v>0.44351464435146454</v>
      </c>
      <c r="F244">
        <v>84.61</v>
      </c>
    </row>
    <row r="245" spans="1:6">
      <c r="A245">
        <v>4721</v>
      </c>
      <c r="B245" t="s">
        <v>389</v>
      </c>
      <c r="C245">
        <v>16.600000000000001</v>
      </c>
      <c r="D245">
        <f>VLOOKUP(A245,收盤價!A:C,3,0)</f>
        <v>23.95</v>
      </c>
      <c r="E245" s="163">
        <v>0.44277108433734924</v>
      </c>
      <c r="F245">
        <v>84.54</v>
      </c>
    </row>
    <row r="246" spans="1:6">
      <c r="A246">
        <v>1432</v>
      </c>
      <c r="B246" t="s">
        <v>604</v>
      </c>
      <c r="C246">
        <v>15.4</v>
      </c>
      <c r="D246">
        <f>VLOOKUP(A246,收盤價!A:C,3,0)</f>
        <v>22.15</v>
      </c>
      <c r="E246" s="163">
        <v>0.43831168831168821</v>
      </c>
      <c r="F246">
        <v>84.48</v>
      </c>
    </row>
    <row r="247" spans="1:6">
      <c r="A247">
        <v>5284</v>
      </c>
      <c r="B247" t="s">
        <v>1649</v>
      </c>
      <c r="C247">
        <v>49.3</v>
      </c>
      <c r="D247">
        <f>VLOOKUP(A247,收盤價!A:C,3,0)</f>
        <v>70.900000000000006</v>
      </c>
      <c r="E247" s="163">
        <v>0.43813387423935113</v>
      </c>
      <c r="F247">
        <v>84.42</v>
      </c>
    </row>
    <row r="248" spans="1:6">
      <c r="A248">
        <v>5309</v>
      </c>
      <c r="B248" t="s">
        <v>1652</v>
      </c>
      <c r="C248">
        <v>13.7</v>
      </c>
      <c r="D248">
        <f>VLOOKUP(A248,收盤價!A:C,3,0)</f>
        <v>19.7</v>
      </c>
      <c r="E248" s="163">
        <v>0.43795620437956206</v>
      </c>
      <c r="F248">
        <v>84.35</v>
      </c>
    </row>
    <row r="249" spans="1:6">
      <c r="A249">
        <v>9136</v>
      </c>
      <c r="B249" t="s">
        <v>1392</v>
      </c>
      <c r="C249">
        <v>11.1</v>
      </c>
      <c r="D249">
        <f>VLOOKUP(A249,收盤價!A:C,3,0)</f>
        <v>15.95</v>
      </c>
      <c r="E249" s="163">
        <v>0.43693693693693691</v>
      </c>
      <c r="F249">
        <v>84.29</v>
      </c>
    </row>
    <row r="250" spans="1:6">
      <c r="A250">
        <v>4952</v>
      </c>
      <c r="B250" t="s">
        <v>1215</v>
      </c>
      <c r="C250">
        <v>27.15</v>
      </c>
      <c r="D250">
        <f>VLOOKUP(A250,收盤價!A:C,3,0)</f>
        <v>39</v>
      </c>
      <c r="E250" s="163">
        <v>0.43646408839779011</v>
      </c>
      <c r="F250">
        <v>84.23</v>
      </c>
    </row>
    <row r="251" spans="1:6">
      <c r="A251">
        <v>1568</v>
      </c>
      <c r="B251" t="s">
        <v>676</v>
      </c>
      <c r="C251">
        <v>14.1</v>
      </c>
      <c r="D251">
        <f>VLOOKUP(A251,收盤價!A:C,3,0)</f>
        <v>20.25</v>
      </c>
      <c r="E251" s="163">
        <v>0.43617021276595747</v>
      </c>
      <c r="F251">
        <v>84.16</v>
      </c>
    </row>
    <row r="252" spans="1:6">
      <c r="A252">
        <v>3455</v>
      </c>
      <c r="B252" t="s">
        <v>328</v>
      </c>
      <c r="C252">
        <v>20.350000000000001</v>
      </c>
      <c r="D252">
        <f>VLOOKUP(A252,收盤價!A:C,3,0)</f>
        <v>29.2</v>
      </c>
      <c r="E252" s="163">
        <v>0.43488943488943477</v>
      </c>
      <c r="F252">
        <v>84.1</v>
      </c>
    </row>
    <row r="253" spans="1:6">
      <c r="A253">
        <v>3047</v>
      </c>
      <c r="B253" t="s">
        <v>1083</v>
      </c>
      <c r="C253">
        <v>6.97</v>
      </c>
      <c r="D253">
        <f>VLOOKUP(A253,收盤價!A:C,3,0)</f>
        <v>10</v>
      </c>
      <c r="E253" s="163">
        <v>0.43472022955523676</v>
      </c>
      <c r="F253">
        <v>84.04</v>
      </c>
    </row>
    <row r="254" spans="1:6">
      <c r="A254">
        <v>4912</v>
      </c>
      <c r="B254" t="s">
        <v>1205</v>
      </c>
      <c r="C254">
        <v>61</v>
      </c>
      <c r="D254">
        <f>VLOOKUP(A254,收盤價!A:C,3,0)</f>
        <v>87.5</v>
      </c>
      <c r="E254" s="163">
        <v>0.4344262295081967</v>
      </c>
      <c r="F254">
        <v>83.97</v>
      </c>
    </row>
    <row r="255" spans="1:6">
      <c r="A255">
        <v>4129</v>
      </c>
      <c r="B255" t="s">
        <v>1570</v>
      </c>
      <c r="C255">
        <v>47.25</v>
      </c>
      <c r="D255">
        <f>VLOOKUP(A255,收盤價!A:C,3,0)</f>
        <v>67.7</v>
      </c>
      <c r="E255" s="163">
        <v>0.43280423280423286</v>
      </c>
      <c r="F255">
        <v>83.91</v>
      </c>
    </row>
    <row r="256" spans="1:6">
      <c r="A256">
        <v>8080</v>
      </c>
      <c r="B256" t="s">
        <v>504</v>
      </c>
      <c r="C256">
        <v>8.35</v>
      </c>
      <c r="D256">
        <f>VLOOKUP(A256,收盤價!A:C,3,0)</f>
        <v>11.95</v>
      </c>
      <c r="E256" s="163">
        <v>0.43113772455089816</v>
      </c>
      <c r="F256">
        <v>83.85</v>
      </c>
    </row>
    <row r="257" spans="1:6">
      <c r="A257">
        <v>6235</v>
      </c>
      <c r="B257" t="s">
        <v>1302</v>
      </c>
      <c r="C257">
        <v>5.95</v>
      </c>
      <c r="D257">
        <f>VLOOKUP(A257,收盤價!A:C,3,0)</f>
        <v>8.51</v>
      </c>
      <c r="E257" s="163">
        <v>0.43025210084033605</v>
      </c>
      <c r="F257">
        <v>83.79</v>
      </c>
    </row>
    <row r="258" spans="1:6">
      <c r="A258">
        <v>4154</v>
      </c>
      <c r="B258" t="s">
        <v>1574</v>
      </c>
      <c r="C258">
        <v>15.75</v>
      </c>
      <c r="D258">
        <f>VLOOKUP(A258,收盤價!A:C,3,0)</f>
        <v>22.5</v>
      </c>
      <c r="E258" s="163">
        <v>0.42857142857142855</v>
      </c>
      <c r="F258">
        <v>83.72</v>
      </c>
    </row>
    <row r="259" spans="1:6">
      <c r="A259">
        <v>3625</v>
      </c>
      <c r="B259" t="s">
        <v>353</v>
      </c>
      <c r="C259">
        <v>6.48</v>
      </c>
      <c r="D259">
        <f>VLOOKUP(A259,收盤價!A:C,3,0)</f>
        <v>9.25</v>
      </c>
      <c r="E259" s="163">
        <v>0.42746913580246904</v>
      </c>
      <c r="F259">
        <v>83.66</v>
      </c>
    </row>
    <row r="260" spans="1:6">
      <c r="A260">
        <v>1525</v>
      </c>
      <c r="B260" t="s">
        <v>658</v>
      </c>
      <c r="C260">
        <v>56.4</v>
      </c>
      <c r="D260">
        <f>VLOOKUP(A260,收盤價!A:C,3,0)</f>
        <v>80.5</v>
      </c>
      <c r="E260" s="163">
        <v>0.42730496453900713</v>
      </c>
      <c r="F260">
        <v>83.6</v>
      </c>
    </row>
    <row r="261" spans="1:6">
      <c r="A261">
        <v>5490</v>
      </c>
      <c r="B261" t="s">
        <v>440</v>
      </c>
      <c r="C261">
        <v>54.6</v>
      </c>
      <c r="D261">
        <f>VLOOKUP(A261,收盤價!A:C,3,0)</f>
        <v>77.900000000000006</v>
      </c>
      <c r="E261" s="163">
        <v>0.42673992673992683</v>
      </c>
      <c r="F261">
        <v>83.53</v>
      </c>
    </row>
    <row r="262" spans="1:6">
      <c r="A262">
        <v>3537</v>
      </c>
      <c r="B262" t="s">
        <v>340</v>
      </c>
      <c r="C262">
        <v>13.25</v>
      </c>
      <c r="D262">
        <f>VLOOKUP(A262,收盤價!A:C,3,0)</f>
        <v>18.899999999999999</v>
      </c>
      <c r="E262" s="163">
        <v>0.42641509433962255</v>
      </c>
      <c r="F262">
        <v>83.47</v>
      </c>
    </row>
    <row r="263" spans="1:6">
      <c r="A263">
        <v>8450</v>
      </c>
      <c r="B263" t="s">
        <v>522</v>
      </c>
      <c r="C263">
        <v>57</v>
      </c>
      <c r="D263">
        <f>VLOOKUP(A263,收盤價!A:C,3,0)</f>
        <v>81.3</v>
      </c>
      <c r="E263" s="163">
        <v>0.42631578947368415</v>
      </c>
      <c r="F263">
        <v>83.41</v>
      </c>
    </row>
    <row r="264" spans="1:6">
      <c r="A264">
        <v>3338</v>
      </c>
      <c r="B264" t="s">
        <v>1115</v>
      </c>
      <c r="C264">
        <v>16.8</v>
      </c>
      <c r="D264">
        <f>VLOOKUP(A264,收盤價!A:C,3,0)</f>
        <v>23.95</v>
      </c>
      <c r="E264" s="163">
        <v>0.42559523809523797</v>
      </c>
      <c r="F264">
        <v>83.34</v>
      </c>
    </row>
    <row r="265" spans="1:6">
      <c r="A265">
        <v>3289</v>
      </c>
      <c r="B265" t="s">
        <v>1499</v>
      </c>
      <c r="C265">
        <v>67.7</v>
      </c>
      <c r="D265">
        <f>VLOOKUP(A265,收盤價!A:C,3,0)</f>
        <v>96.5</v>
      </c>
      <c r="E265" s="163">
        <v>0.42540620384047262</v>
      </c>
      <c r="F265">
        <v>83.28</v>
      </c>
    </row>
    <row r="266" spans="1:6">
      <c r="A266">
        <v>2235</v>
      </c>
      <c r="B266" t="s">
        <v>279</v>
      </c>
      <c r="C266">
        <v>94.1</v>
      </c>
      <c r="D266">
        <f>VLOOKUP(A266,收盤價!A:C,3,0)</f>
        <v>134</v>
      </c>
      <c r="E266" s="163">
        <v>0.42401700318809787</v>
      </c>
      <c r="F266">
        <v>83.22</v>
      </c>
    </row>
    <row r="267" spans="1:6">
      <c r="A267">
        <v>8086</v>
      </c>
      <c r="B267" t="s">
        <v>1796</v>
      </c>
      <c r="C267">
        <v>62.5</v>
      </c>
      <c r="D267">
        <f>VLOOKUP(A267,收盤價!A:C,3,0)</f>
        <v>89</v>
      </c>
      <c r="E267" s="163">
        <v>0.42399999999999999</v>
      </c>
      <c r="F267">
        <v>83.15</v>
      </c>
    </row>
    <row r="268" spans="1:6">
      <c r="A268">
        <v>1467</v>
      </c>
      <c r="B268" t="s">
        <v>633</v>
      </c>
      <c r="C268">
        <v>10.5</v>
      </c>
      <c r="D268">
        <f>VLOOKUP(A268,收盤價!A:C,3,0)</f>
        <v>14.95</v>
      </c>
      <c r="E268" s="163">
        <v>0.42380952380952375</v>
      </c>
      <c r="F268">
        <v>83.09</v>
      </c>
    </row>
    <row r="269" spans="1:6">
      <c r="A269">
        <v>4737</v>
      </c>
      <c r="B269" t="s">
        <v>1200</v>
      </c>
      <c r="C269">
        <v>42.8</v>
      </c>
      <c r="D269">
        <f>VLOOKUP(A269,收盤價!A:C,3,0)</f>
        <v>60.9</v>
      </c>
      <c r="E269" s="163">
        <v>0.42289719626168232</v>
      </c>
      <c r="F269">
        <v>83.03</v>
      </c>
    </row>
    <row r="270" spans="1:6">
      <c r="A270">
        <v>9802</v>
      </c>
      <c r="B270" t="s">
        <v>1396</v>
      </c>
      <c r="C270">
        <v>36.549999999999997</v>
      </c>
      <c r="D270">
        <f>VLOOKUP(A270,收盤價!A:C,3,0)</f>
        <v>52</v>
      </c>
      <c r="E270" s="163">
        <v>0.42270861833105344</v>
      </c>
      <c r="F270">
        <v>82.97</v>
      </c>
    </row>
    <row r="271" spans="1:6">
      <c r="A271">
        <v>6202</v>
      </c>
      <c r="B271" t="s">
        <v>1290</v>
      </c>
      <c r="C271">
        <v>36.200000000000003</v>
      </c>
      <c r="D271">
        <f>VLOOKUP(A271,收盤價!A:C,3,0)</f>
        <v>51.5</v>
      </c>
      <c r="E271" s="163">
        <v>0.42265193370165732</v>
      </c>
      <c r="F271">
        <v>82.9</v>
      </c>
    </row>
    <row r="272" spans="1:6">
      <c r="A272">
        <v>4906</v>
      </c>
      <c r="B272" t="s">
        <v>1204</v>
      </c>
      <c r="C272">
        <v>11.85</v>
      </c>
      <c r="D272">
        <f>VLOOKUP(A272,收盤價!A:C,3,0)</f>
        <v>16.850000000000001</v>
      </c>
      <c r="E272" s="163">
        <v>0.42194092827004237</v>
      </c>
      <c r="F272">
        <v>82.84</v>
      </c>
    </row>
    <row r="273" spans="1:6">
      <c r="A273">
        <v>1217</v>
      </c>
      <c r="B273" t="s">
        <v>556</v>
      </c>
      <c r="C273">
        <v>6.33</v>
      </c>
      <c r="D273">
        <f>VLOOKUP(A273,收盤價!A:C,3,0)</f>
        <v>9</v>
      </c>
      <c r="E273" s="163">
        <v>0.42180094786729855</v>
      </c>
      <c r="F273">
        <v>82.78</v>
      </c>
    </row>
    <row r="274" spans="1:6">
      <c r="A274">
        <v>1418</v>
      </c>
      <c r="B274" t="s">
        <v>601</v>
      </c>
      <c r="C274">
        <v>3.63</v>
      </c>
      <c r="D274">
        <f>VLOOKUP(A274,收盤價!A:C,3,0)</f>
        <v>5.16</v>
      </c>
      <c r="E274" s="163">
        <v>0.42148760330578522</v>
      </c>
      <c r="F274">
        <v>82.71</v>
      </c>
    </row>
    <row r="275" spans="1:6">
      <c r="A275">
        <v>3169</v>
      </c>
      <c r="B275" t="s">
        <v>1481</v>
      </c>
      <c r="C275">
        <v>21</v>
      </c>
      <c r="D275">
        <f>VLOOKUP(A275,收盤價!A:C,3,0)</f>
        <v>29.85</v>
      </c>
      <c r="E275" s="163">
        <v>0.42142857142857149</v>
      </c>
      <c r="F275">
        <v>82.65</v>
      </c>
    </row>
    <row r="276" spans="1:6">
      <c r="A276">
        <v>6211</v>
      </c>
      <c r="B276" t="s">
        <v>1745</v>
      </c>
      <c r="C276">
        <v>14.95</v>
      </c>
      <c r="D276">
        <f>VLOOKUP(A276,收盤價!A:C,3,0)</f>
        <v>21.25</v>
      </c>
      <c r="E276" s="163">
        <v>0.42140468227424754</v>
      </c>
      <c r="F276">
        <v>82.59</v>
      </c>
    </row>
    <row r="277" spans="1:6">
      <c r="A277">
        <v>1471</v>
      </c>
      <c r="B277" t="s">
        <v>637</v>
      </c>
      <c r="C277">
        <v>3.42</v>
      </c>
      <c r="D277">
        <f>VLOOKUP(A277,收盤價!A:C,3,0)</f>
        <v>4.8600000000000003</v>
      </c>
      <c r="E277" s="163">
        <v>0.42105263157894751</v>
      </c>
      <c r="F277">
        <v>82.52</v>
      </c>
    </row>
    <row r="278" spans="1:6">
      <c r="A278">
        <v>5289</v>
      </c>
      <c r="B278" t="s">
        <v>1650</v>
      </c>
      <c r="C278">
        <v>64.099999999999994</v>
      </c>
      <c r="D278">
        <f>VLOOKUP(A278,收盤價!A:C,3,0)</f>
        <v>91</v>
      </c>
      <c r="E278" s="163">
        <v>0.41965678627145098</v>
      </c>
      <c r="F278">
        <v>82.46</v>
      </c>
    </row>
    <row r="279" spans="1:6">
      <c r="A279">
        <v>8091</v>
      </c>
      <c r="B279" t="s">
        <v>1797</v>
      </c>
      <c r="C279">
        <v>45.8</v>
      </c>
      <c r="D279">
        <f>VLOOKUP(A279,收盤價!A:C,3,0)</f>
        <v>65</v>
      </c>
      <c r="E279" s="163">
        <v>0.41921397379912673</v>
      </c>
      <c r="F279">
        <v>82.4</v>
      </c>
    </row>
    <row r="280" spans="1:6">
      <c r="A280">
        <v>6609</v>
      </c>
      <c r="B280" t="s">
        <v>497</v>
      </c>
      <c r="C280">
        <v>18.2</v>
      </c>
      <c r="D280">
        <f>VLOOKUP(A280,收盤價!A:C,3,0)</f>
        <v>25.8</v>
      </c>
      <c r="E280" s="163">
        <v>0.41758241758241765</v>
      </c>
      <c r="F280">
        <v>82.33</v>
      </c>
    </row>
    <row r="281" spans="1:6">
      <c r="A281">
        <v>3529</v>
      </c>
      <c r="B281" t="s">
        <v>339</v>
      </c>
      <c r="C281">
        <v>257.5</v>
      </c>
      <c r="D281">
        <f>VLOOKUP(A281,收盤價!A:C,3,0)</f>
        <v>365</v>
      </c>
      <c r="E281" s="163">
        <v>0.41747572815533979</v>
      </c>
      <c r="F281">
        <v>82.27</v>
      </c>
    </row>
    <row r="282" spans="1:6">
      <c r="A282">
        <v>3037</v>
      </c>
      <c r="B282" t="s">
        <v>1074</v>
      </c>
      <c r="C282">
        <v>10.3</v>
      </c>
      <c r="D282">
        <f>VLOOKUP(A282,收盤價!A:C,3,0)</f>
        <v>14.6</v>
      </c>
      <c r="E282" s="163">
        <v>0.41747572815533968</v>
      </c>
      <c r="F282">
        <v>82.21</v>
      </c>
    </row>
    <row r="283" spans="1:6">
      <c r="A283">
        <v>2314</v>
      </c>
      <c r="B283" t="s">
        <v>802</v>
      </c>
      <c r="C283">
        <v>6.98</v>
      </c>
      <c r="D283">
        <f>VLOOKUP(A283,收盤價!A:C,3,0)</f>
        <v>9.89</v>
      </c>
      <c r="E283" s="163">
        <v>0.4169054441260745</v>
      </c>
      <c r="F283">
        <v>82.15</v>
      </c>
    </row>
    <row r="284" spans="1:6">
      <c r="A284">
        <v>4414</v>
      </c>
      <c r="B284" t="s">
        <v>1189</v>
      </c>
      <c r="C284">
        <v>15.2</v>
      </c>
      <c r="D284">
        <f>VLOOKUP(A284,收盤價!A:C,3,0)</f>
        <v>21.5</v>
      </c>
      <c r="E284" s="163">
        <v>0.41447368421052638</v>
      </c>
      <c r="F284">
        <v>82.08</v>
      </c>
    </row>
    <row r="285" spans="1:6">
      <c r="A285">
        <v>2325</v>
      </c>
      <c r="B285" t="s">
        <v>808</v>
      </c>
      <c r="C285">
        <v>36.85</v>
      </c>
      <c r="D285">
        <f>VLOOKUP(A285,收盤價!A:C,3,0)</f>
        <v>52.1</v>
      </c>
      <c r="E285" s="163">
        <v>0.41383989145183175</v>
      </c>
      <c r="F285">
        <v>82.02</v>
      </c>
    </row>
    <row r="286" spans="1:6">
      <c r="A286">
        <v>1733</v>
      </c>
      <c r="B286" t="s">
        <v>722</v>
      </c>
      <c r="C286">
        <v>33.25</v>
      </c>
      <c r="D286">
        <f>VLOOKUP(A286,收盤價!A:C,3,0)</f>
        <v>46.95</v>
      </c>
      <c r="E286" s="163">
        <v>0.41203007518797002</v>
      </c>
      <c r="F286">
        <v>81.96</v>
      </c>
    </row>
    <row r="287" spans="1:6">
      <c r="A287">
        <v>3054</v>
      </c>
      <c r="B287" t="s">
        <v>1089</v>
      </c>
      <c r="C287">
        <v>15.3</v>
      </c>
      <c r="D287">
        <f>VLOOKUP(A287,收盤價!A:C,3,0)</f>
        <v>21.6</v>
      </c>
      <c r="E287" s="163">
        <v>0.41176470588235298</v>
      </c>
      <c r="F287">
        <v>81.89</v>
      </c>
    </row>
    <row r="288" spans="1:6">
      <c r="A288">
        <v>1466</v>
      </c>
      <c r="B288" t="s">
        <v>632</v>
      </c>
      <c r="C288">
        <v>12.4</v>
      </c>
      <c r="D288">
        <f>VLOOKUP(A288,收盤價!A:C,3,0)</f>
        <v>17.5</v>
      </c>
      <c r="E288" s="163">
        <v>0.41129032258064513</v>
      </c>
      <c r="F288">
        <v>81.83</v>
      </c>
    </row>
    <row r="289" spans="1:6">
      <c r="A289">
        <v>4126</v>
      </c>
      <c r="B289" t="s">
        <v>365</v>
      </c>
      <c r="C289">
        <v>52.8</v>
      </c>
      <c r="D289">
        <f>VLOOKUP(A289,收盤價!A:C,3,0)</f>
        <v>74.5</v>
      </c>
      <c r="E289" s="163">
        <v>0.41098484848484856</v>
      </c>
      <c r="F289">
        <v>81.77</v>
      </c>
    </row>
    <row r="290" spans="1:6">
      <c r="A290">
        <v>3622</v>
      </c>
      <c r="B290" t="s">
        <v>1160</v>
      </c>
      <c r="C290">
        <v>8.1199999999999992</v>
      </c>
      <c r="D290">
        <f>VLOOKUP(A290,收盤價!A:C,3,0)</f>
        <v>11.45</v>
      </c>
      <c r="E290" s="163">
        <v>0.41009852216748771</v>
      </c>
      <c r="F290">
        <v>81.7</v>
      </c>
    </row>
    <row r="291" spans="1:6">
      <c r="A291">
        <v>3630</v>
      </c>
      <c r="B291" t="s">
        <v>354</v>
      </c>
      <c r="C291">
        <v>12.35</v>
      </c>
      <c r="D291">
        <f>VLOOKUP(A291,收盤價!A:C,3,0)</f>
        <v>17.399999999999999</v>
      </c>
      <c r="E291" s="163">
        <v>0.40890688259109303</v>
      </c>
      <c r="F291">
        <v>81.64</v>
      </c>
    </row>
    <row r="292" spans="1:6">
      <c r="A292">
        <v>1522</v>
      </c>
      <c r="B292" t="s">
        <v>656</v>
      </c>
      <c r="C292">
        <v>16.3</v>
      </c>
      <c r="D292">
        <f>VLOOKUP(A292,收盤價!A:C,3,0)</f>
        <v>22.95</v>
      </c>
      <c r="E292" s="163">
        <v>0.40797546012269931</v>
      </c>
      <c r="F292">
        <v>81.58</v>
      </c>
    </row>
    <row r="293" spans="1:6">
      <c r="A293">
        <v>3226</v>
      </c>
      <c r="B293" t="s">
        <v>300</v>
      </c>
      <c r="C293">
        <v>47</v>
      </c>
      <c r="D293">
        <f>VLOOKUP(A293,收盤價!A:C,3,0)</f>
        <v>66.099999999999994</v>
      </c>
      <c r="E293" s="163">
        <v>0.40638297872340412</v>
      </c>
      <c r="F293">
        <v>81.510000000000005</v>
      </c>
    </row>
    <row r="294" spans="1:6">
      <c r="A294">
        <v>8064</v>
      </c>
      <c r="B294" t="s">
        <v>501</v>
      </c>
      <c r="C294">
        <v>9</v>
      </c>
      <c r="D294">
        <f>VLOOKUP(A294,收盤價!A:C,3,0)</f>
        <v>12.65</v>
      </c>
      <c r="E294" s="163">
        <v>0.40555555555555561</v>
      </c>
      <c r="F294">
        <v>81.45</v>
      </c>
    </row>
    <row r="295" spans="1:6">
      <c r="A295">
        <v>2465</v>
      </c>
      <c r="B295" t="s">
        <v>911</v>
      </c>
      <c r="C295">
        <v>7.4</v>
      </c>
      <c r="D295">
        <f>VLOOKUP(A295,收盤價!A:C,3,0)</f>
        <v>10.4</v>
      </c>
      <c r="E295" s="163">
        <v>0.40540540540540537</v>
      </c>
      <c r="F295">
        <v>81.39</v>
      </c>
    </row>
    <row r="296" spans="1:6">
      <c r="A296">
        <v>8163</v>
      </c>
      <c r="B296" t="s">
        <v>1351</v>
      </c>
      <c r="C296">
        <v>13</v>
      </c>
      <c r="D296">
        <f>VLOOKUP(A296,收盤價!A:C,3,0)</f>
        <v>18.25</v>
      </c>
      <c r="E296" s="163">
        <v>0.40384615384615385</v>
      </c>
      <c r="F296">
        <v>81.319999999999993</v>
      </c>
    </row>
    <row r="297" spans="1:6">
      <c r="A297">
        <v>4909</v>
      </c>
      <c r="B297" t="s">
        <v>393</v>
      </c>
      <c r="C297">
        <v>16.3</v>
      </c>
      <c r="D297">
        <f>VLOOKUP(A297,收盤價!A:C,3,0)</f>
        <v>22.8</v>
      </c>
      <c r="E297" s="163">
        <v>0.3987730061349693</v>
      </c>
      <c r="F297">
        <v>81.260000000000005</v>
      </c>
    </row>
    <row r="298" spans="1:6">
      <c r="A298">
        <v>3014</v>
      </c>
      <c r="B298" t="s">
        <v>1053</v>
      </c>
      <c r="C298">
        <v>20.8</v>
      </c>
      <c r="D298">
        <f>VLOOKUP(A298,收盤價!A:C,3,0)</f>
        <v>29.05</v>
      </c>
      <c r="E298" s="163">
        <v>0.39663461538461536</v>
      </c>
      <c r="F298">
        <v>81.2</v>
      </c>
    </row>
    <row r="299" spans="1:6">
      <c r="A299">
        <v>1475</v>
      </c>
      <c r="B299" t="s">
        <v>641</v>
      </c>
      <c r="C299">
        <v>6.59</v>
      </c>
      <c r="D299">
        <f>VLOOKUP(A299,收盤價!A:C,3,0)</f>
        <v>9.1999999999999993</v>
      </c>
      <c r="E299" s="163">
        <v>0.39605462822458265</v>
      </c>
      <c r="F299">
        <v>81.14</v>
      </c>
    </row>
    <row r="300" spans="1:6">
      <c r="A300">
        <v>2421</v>
      </c>
      <c r="B300" t="s">
        <v>875</v>
      </c>
      <c r="C300">
        <v>12.5</v>
      </c>
      <c r="D300">
        <f>VLOOKUP(A300,收盤價!A:C,3,0)</f>
        <v>17.45</v>
      </c>
      <c r="E300" s="163">
        <v>0.39599999999999996</v>
      </c>
      <c r="F300">
        <v>81.069999999999993</v>
      </c>
    </row>
    <row r="301" spans="1:6">
      <c r="A301">
        <v>3272</v>
      </c>
      <c r="B301" t="s">
        <v>309</v>
      </c>
      <c r="C301">
        <v>43.75</v>
      </c>
      <c r="D301">
        <f>VLOOKUP(A301,收盤價!A:C,3,0)</f>
        <v>61</v>
      </c>
      <c r="E301" s="163">
        <v>0.39428571428571429</v>
      </c>
      <c r="F301">
        <v>81.010000000000005</v>
      </c>
    </row>
    <row r="302" spans="1:6">
      <c r="A302">
        <v>6220</v>
      </c>
      <c r="B302" t="s">
        <v>471</v>
      </c>
      <c r="C302">
        <v>11.55</v>
      </c>
      <c r="D302">
        <f>VLOOKUP(A302,收盤價!A:C,3,0)</f>
        <v>16.100000000000001</v>
      </c>
      <c r="E302" s="163">
        <v>0.39393939393939398</v>
      </c>
      <c r="F302">
        <v>80.95</v>
      </c>
    </row>
    <row r="303" spans="1:6">
      <c r="A303">
        <v>6185</v>
      </c>
      <c r="B303" t="s">
        <v>1736</v>
      </c>
      <c r="C303">
        <v>17.45</v>
      </c>
      <c r="D303">
        <f>VLOOKUP(A303,收盤價!A:C,3,0)</f>
        <v>24.3</v>
      </c>
      <c r="E303" s="163">
        <v>0.39255014326647575</v>
      </c>
      <c r="F303">
        <v>80.88</v>
      </c>
    </row>
    <row r="304" spans="1:6">
      <c r="A304">
        <v>4114</v>
      </c>
      <c r="B304" t="s">
        <v>1565</v>
      </c>
      <c r="C304">
        <v>26</v>
      </c>
      <c r="D304">
        <f>VLOOKUP(A304,收盤價!A:C,3,0)</f>
        <v>36.200000000000003</v>
      </c>
      <c r="E304" s="163">
        <v>0.39230769230769241</v>
      </c>
      <c r="F304">
        <v>80.819999999999993</v>
      </c>
    </row>
    <row r="305" spans="1:6">
      <c r="A305">
        <v>6415</v>
      </c>
      <c r="B305" t="s">
        <v>1321</v>
      </c>
      <c r="C305">
        <v>262</v>
      </c>
      <c r="D305">
        <f>VLOOKUP(A305,收盤價!A:C,3,0)</f>
        <v>364</v>
      </c>
      <c r="E305" s="163">
        <v>0.38931297709923662</v>
      </c>
      <c r="F305">
        <v>80.760000000000005</v>
      </c>
    </row>
    <row r="306" spans="1:6">
      <c r="A306">
        <v>8437</v>
      </c>
      <c r="B306" t="s">
        <v>1832</v>
      </c>
      <c r="C306">
        <v>104.5</v>
      </c>
      <c r="D306">
        <f>VLOOKUP(A306,收盤價!A:C,3,0)</f>
        <v>145</v>
      </c>
      <c r="E306" s="163">
        <v>0.38755980861244022</v>
      </c>
      <c r="F306">
        <v>80.69</v>
      </c>
    </row>
    <row r="307" spans="1:6">
      <c r="A307">
        <v>4551</v>
      </c>
      <c r="B307" t="s">
        <v>1194</v>
      </c>
      <c r="C307">
        <v>52</v>
      </c>
      <c r="D307">
        <f>VLOOKUP(A307,收盤價!A:C,3,0)</f>
        <v>72.099999999999994</v>
      </c>
      <c r="E307" s="163">
        <v>0.38653846153846144</v>
      </c>
      <c r="F307">
        <v>80.63</v>
      </c>
    </row>
    <row r="308" spans="1:6">
      <c r="A308">
        <v>6509</v>
      </c>
      <c r="B308" t="s">
        <v>495</v>
      </c>
      <c r="C308">
        <v>14.4</v>
      </c>
      <c r="D308">
        <f>VLOOKUP(A308,收盤價!A:C,3,0)</f>
        <v>19.95</v>
      </c>
      <c r="E308" s="163">
        <v>0.38541666666666657</v>
      </c>
      <c r="F308">
        <v>80.569999999999993</v>
      </c>
    </row>
    <row r="309" spans="1:6">
      <c r="A309">
        <v>8406</v>
      </c>
      <c r="B309" t="s">
        <v>1826</v>
      </c>
      <c r="C309">
        <v>305</v>
      </c>
      <c r="D309">
        <f>VLOOKUP(A309,收盤價!A:C,3,0)</f>
        <v>422.5</v>
      </c>
      <c r="E309" s="163">
        <v>0.38524590163934425</v>
      </c>
      <c r="F309">
        <v>80.5</v>
      </c>
    </row>
    <row r="310" spans="1:6">
      <c r="A310">
        <v>6274</v>
      </c>
      <c r="B310" t="s">
        <v>489</v>
      </c>
      <c r="C310">
        <v>20</v>
      </c>
      <c r="D310">
        <f>VLOOKUP(A310,收盤價!A:C,3,0)</f>
        <v>27.7</v>
      </c>
      <c r="E310" s="163">
        <v>0.38499999999999995</v>
      </c>
      <c r="F310">
        <v>80.44</v>
      </c>
    </row>
    <row r="311" spans="1:6">
      <c r="A311">
        <v>3264</v>
      </c>
      <c r="B311" t="s">
        <v>1495</v>
      </c>
      <c r="C311">
        <v>17.100000000000001</v>
      </c>
      <c r="D311">
        <f>VLOOKUP(A311,收盤價!A:C,3,0)</f>
        <v>23.65</v>
      </c>
      <c r="E311" s="163">
        <v>0.3830409356725144</v>
      </c>
      <c r="F311">
        <v>80.38</v>
      </c>
    </row>
    <row r="312" spans="1:6">
      <c r="A312">
        <v>5474</v>
      </c>
      <c r="B312" t="s">
        <v>1676</v>
      </c>
      <c r="C312">
        <v>46.8</v>
      </c>
      <c r="D312">
        <f>VLOOKUP(A312,收盤價!A:C,3,0)</f>
        <v>64.7</v>
      </c>
      <c r="E312" s="163">
        <v>0.38247863247863262</v>
      </c>
      <c r="F312">
        <v>80.319999999999993</v>
      </c>
    </row>
    <row r="313" spans="1:6">
      <c r="A313">
        <v>6134</v>
      </c>
      <c r="B313" t="s">
        <v>1721</v>
      </c>
      <c r="C313">
        <v>4.76</v>
      </c>
      <c r="D313">
        <f>VLOOKUP(A313,收盤價!A:C,3,0)</f>
        <v>6.58</v>
      </c>
      <c r="E313" s="163">
        <v>0.38235294117647067</v>
      </c>
      <c r="F313">
        <v>80.25</v>
      </c>
    </row>
    <row r="314" spans="1:6">
      <c r="A314">
        <v>2419</v>
      </c>
      <c r="B314" t="s">
        <v>873</v>
      </c>
      <c r="C314">
        <v>10.35</v>
      </c>
      <c r="D314">
        <f>VLOOKUP(A314,收盤價!A:C,3,0)</f>
        <v>14.3</v>
      </c>
      <c r="E314" s="163">
        <v>0.38164251207729483</v>
      </c>
      <c r="F314">
        <v>80.19</v>
      </c>
    </row>
    <row r="315" spans="1:6">
      <c r="A315">
        <v>3682</v>
      </c>
      <c r="B315" t="s">
        <v>1168</v>
      </c>
      <c r="C315">
        <v>8.15</v>
      </c>
      <c r="D315">
        <f>VLOOKUP(A315,收盤價!A:C,3,0)</f>
        <v>11.25</v>
      </c>
      <c r="E315" s="163">
        <v>0.38036809815950912</v>
      </c>
      <c r="F315">
        <v>80.13</v>
      </c>
    </row>
    <row r="316" spans="1:6">
      <c r="A316">
        <v>6457</v>
      </c>
      <c r="B316" t="s">
        <v>1771</v>
      </c>
      <c r="C316">
        <v>27.75</v>
      </c>
      <c r="D316">
        <f>VLOOKUP(A316,收盤價!A:C,3,0)</f>
        <v>38.299999999999997</v>
      </c>
      <c r="E316" s="163">
        <v>0.38018018018018007</v>
      </c>
      <c r="F316">
        <v>80.06</v>
      </c>
    </row>
    <row r="317" spans="1:6">
      <c r="A317">
        <v>4728</v>
      </c>
      <c r="B317" t="s">
        <v>390</v>
      </c>
      <c r="C317">
        <v>23.3</v>
      </c>
      <c r="D317">
        <f>VLOOKUP(A317,收盤價!A:C,3,0)</f>
        <v>32.15</v>
      </c>
      <c r="E317" s="163">
        <v>0.37982832618025741</v>
      </c>
      <c r="F317">
        <v>80</v>
      </c>
    </row>
    <row r="318" spans="1:6">
      <c r="A318">
        <v>3006</v>
      </c>
      <c r="B318" t="s">
        <v>1048</v>
      </c>
      <c r="C318">
        <v>22.2</v>
      </c>
      <c r="D318">
        <f>VLOOKUP(A318,收盤價!A:C,3,0)</f>
        <v>30.6</v>
      </c>
      <c r="E318" s="163">
        <v>0.37837837837837851</v>
      </c>
      <c r="F318">
        <v>79.94</v>
      </c>
    </row>
    <row r="319" spans="1:6">
      <c r="A319">
        <v>3268</v>
      </c>
      <c r="B319" t="s">
        <v>308</v>
      </c>
      <c r="C319">
        <v>11.25</v>
      </c>
      <c r="D319">
        <f>VLOOKUP(A319,收盤價!A:C,3,0)</f>
        <v>15.5</v>
      </c>
      <c r="E319" s="163">
        <v>0.37777777777777777</v>
      </c>
      <c r="F319">
        <v>79.87</v>
      </c>
    </row>
    <row r="320" spans="1:6">
      <c r="A320">
        <v>2233</v>
      </c>
      <c r="B320" t="s">
        <v>278</v>
      </c>
      <c r="C320">
        <v>51.9</v>
      </c>
      <c r="D320">
        <f>VLOOKUP(A320,收盤價!A:C,3,0)</f>
        <v>71.5</v>
      </c>
      <c r="E320" s="163">
        <v>0.37764932562620429</v>
      </c>
      <c r="F320">
        <v>79.81</v>
      </c>
    </row>
    <row r="321" spans="1:6">
      <c r="A321">
        <v>6173</v>
      </c>
      <c r="B321" t="s">
        <v>1733</v>
      </c>
      <c r="C321">
        <v>7.56</v>
      </c>
      <c r="D321">
        <f>VLOOKUP(A321,收盤價!A:C,3,0)</f>
        <v>10.4</v>
      </c>
      <c r="E321" s="163">
        <v>0.37566137566137581</v>
      </c>
      <c r="F321">
        <v>79.75</v>
      </c>
    </row>
    <row r="322" spans="1:6">
      <c r="A322">
        <v>4426</v>
      </c>
      <c r="B322" t="s">
        <v>1190</v>
      </c>
      <c r="C322">
        <v>110.5</v>
      </c>
      <c r="D322">
        <f>VLOOKUP(A322,收盤價!A:C,3,0)</f>
        <v>152</v>
      </c>
      <c r="E322" s="163">
        <v>0.3755656108597285</v>
      </c>
      <c r="F322">
        <v>79.680000000000007</v>
      </c>
    </row>
    <row r="323" spans="1:6">
      <c r="A323">
        <v>8088</v>
      </c>
      <c r="B323" t="s">
        <v>509</v>
      </c>
      <c r="C323">
        <v>12.25</v>
      </c>
      <c r="D323">
        <f>VLOOKUP(A323,收盤價!A:C,3,0)</f>
        <v>16.850000000000001</v>
      </c>
      <c r="E323" s="163">
        <v>0.37551020408163277</v>
      </c>
      <c r="F323">
        <v>79.62</v>
      </c>
    </row>
    <row r="324" spans="1:6">
      <c r="A324">
        <v>2534</v>
      </c>
      <c r="B324" t="s">
        <v>952</v>
      </c>
      <c r="C324">
        <v>13.6</v>
      </c>
      <c r="D324">
        <f>VLOOKUP(A324,收盤價!A:C,3,0)</f>
        <v>18.7</v>
      </c>
      <c r="E324" s="163">
        <v>0.375</v>
      </c>
      <c r="F324">
        <v>79.56</v>
      </c>
    </row>
    <row r="325" spans="1:6">
      <c r="A325">
        <v>6432</v>
      </c>
      <c r="B325" t="s">
        <v>1770</v>
      </c>
      <c r="C325">
        <v>23</v>
      </c>
      <c r="D325">
        <f>VLOOKUP(A325,收盤價!A:C,3,0)</f>
        <v>31.6</v>
      </c>
      <c r="E325" s="163">
        <v>0.37391304347826093</v>
      </c>
      <c r="F325">
        <v>79.5</v>
      </c>
    </row>
    <row r="326" spans="1:6">
      <c r="A326">
        <v>2493</v>
      </c>
      <c r="B326" t="s">
        <v>932</v>
      </c>
      <c r="C326">
        <v>15.55</v>
      </c>
      <c r="D326">
        <f>VLOOKUP(A326,收盤價!A:C,3,0)</f>
        <v>21.35</v>
      </c>
      <c r="E326" s="163">
        <v>0.37299035369774924</v>
      </c>
      <c r="F326">
        <v>79.430000000000007</v>
      </c>
    </row>
    <row r="327" spans="1:6">
      <c r="A327">
        <v>1536</v>
      </c>
      <c r="B327" t="s">
        <v>668</v>
      </c>
      <c r="C327">
        <v>88.5</v>
      </c>
      <c r="D327">
        <f>VLOOKUP(A327,收盤價!A:C,3,0)</f>
        <v>121.5</v>
      </c>
      <c r="E327" s="163">
        <v>0.3728813559322034</v>
      </c>
      <c r="F327">
        <v>79.37</v>
      </c>
    </row>
    <row r="328" spans="1:6">
      <c r="A328">
        <v>3540</v>
      </c>
      <c r="B328" t="s">
        <v>1532</v>
      </c>
      <c r="C328">
        <v>9.4</v>
      </c>
      <c r="D328">
        <f>VLOOKUP(A328,收盤價!A:C,3,0)</f>
        <v>12.9</v>
      </c>
      <c r="E328" s="163">
        <v>0.37234042553191488</v>
      </c>
      <c r="F328">
        <v>79.31</v>
      </c>
    </row>
    <row r="329" spans="1:6">
      <c r="A329">
        <v>3698</v>
      </c>
      <c r="B329" t="s">
        <v>1171</v>
      </c>
      <c r="C329">
        <v>12.1</v>
      </c>
      <c r="D329">
        <f>VLOOKUP(A329,收盤價!A:C,3,0)</f>
        <v>16.600000000000001</v>
      </c>
      <c r="E329" s="163">
        <v>0.37190082644628114</v>
      </c>
      <c r="F329">
        <v>79.239999999999995</v>
      </c>
    </row>
    <row r="330" spans="1:6">
      <c r="A330">
        <v>1752</v>
      </c>
      <c r="B330" t="s">
        <v>268</v>
      </c>
      <c r="C330">
        <v>35</v>
      </c>
      <c r="D330">
        <f>VLOOKUP(A330,收盤價!A:C,3,0)</f>
        <v>48</v>
      </c>
      <c r="E330" s="163">
        <v>0.37142857142857144</v>
      </c>
      <c r="F330">
        <v>79.180000000000007</v>
      </c>
    </row>
    <row r="331" spans="1:6">
      <c r="A331">
        <v>1786</v>
      </c>
      <c r="B331" t="s">
        <v>730</v>
      </c>
      <c r="C331">
        <v>45.45</v>
      </c>
      <c r="D331">
        <f>VLOOKUP(A331,收盤價!A:C,3,0)</f>
        <v>62.3</v>
      </c>
      <c r="E331" s="163">
        <v>0.37073707370737058</v>
      </c>
      <c r="F331">
        <v>79.12</v>
      </c>
    </row>
    <row r="332" spans="1:6">
      <c r="A332">
        <v>2915</v>
      </c>
      <c r="B332" t="s">
        <v>1041</v>
      </c>
      <c r="C332">
        <v>46.55</v>
      </c>
      <c r="D332">
        <f>VLOOKUP(A332,收盤價!A:C,3,0)</f>
        <v>63.8</v>
      </c>
      <c r="E332" s="163">
        <v>0.37056928034371645</v>
      </c>
      <c r="F332">
        <v>79.05</v>
      </c>
    </row>
    <row r="333" spans="1:6">
      <c r="A333">
        <v>4942</v>
      </c>
      <c r="B333" t="s">
        <v>1214</v>
      </c>
      <c r="C333">
        <v>18.2</v>
      </c>
      <c r="D333">
        <f>VLOOKUP(A333,收盤價!A:C,3,0)</f>
        <v>24.9</v>
      </c>
      <c r="E333" s="163">
        <v>0.3681318681318681</v>
      </c>
      <c r="F333">
        <v>78.989999999999995</v>
      </c>
    </row>
    <row r="334" spans="1:6">
      <c r="A334">
        <v>4415</v>
      </c>
      <c r="B334" t="s">
        <v>1590</v>
      </c>
      <c r="C334">
        <v>13.6</v>
      </c>
      <c r="D334">
        <f>VLOOKUP(A334,收盤價!A:C,3,0)</f>
        <v>18.600000000000001</v>
      </c>
      <c r="E334" s="163">
        <v>0.36764705882352955</v>
      </c>
      <c r="F334">
        <v>78.930000000000007</v>
      </c>
    </row>
    <row r="335" spans="1:6">
      <c r="A335">
        <v>3594</v>
      </c>
      <c r="B335" t="s">
        <v>348</v>
      </c>
      <c r="C335">
        <v>19.75</v>
      </c>
      <c r="D335">
        <f>VLOOKUP(A335,收盤價!A:C,3,0)</f>
        <v>27</v>
      </c>
      <c r="E335" s="163">
        <v>0.36708860759493672</v>
      </c>
      <c r="F335">
        <v>78.86</v>
      </c>
    </row>
    <row r="336" spans="1:6">
      <c r="A336">
        <v>3499</v>
      </c>
      <c r="B336" t="s">
        <v>334</v>
      </c>
      <c r="C336">
        <v>15.15</v>
      </c>
      <c r="D336">
        <f>VLOOKUP(A336,收盤價!A:C,3,0)</f>
        <v>20.7</v>
      </c>
      <c r="E336" s="163">
        <v>0.36633663366336627</v>
      </c>
      <c r="F336">
        <v>78.8</v>
      </c>
    </row>
    <row r="337" spans="1:6">
      <c r="A337">
        <v>4911</v>
      </c>
      <c r="B337" t="s">
        <v>394</v>
      </c>
      <c r="C337">
        <v>61.6</v>
      </c>
      <c r="D337">
        <f>VLOOKUP(A337,收盤價!A:C,3,0)</f>
        <v>84.1</v>
      </c>
      <c r="E337" s="163">
        <v>0.36525974025974012</v>
      </c>
      <c r="F337">
        <v>78.739999999999995</v>
      </c>
    </row>
    <row r="338" spans="1:6">
      <c r="A338">
        <v>3003</v>
      </c>
      <c r="B338" t="s">
        <v>1045</v>
      </c>
      <c r="C338">
        <v>26.9</v>
      </c>
      <c r="D338">
        <f>VLOOKUP(A338,收盤價!A:C,3,0)</f>
        <v>36.700000000000003</v>
      </c>
      <c r="E338" s="163">
        <v>0.36431226765799274</v>
      </c>
      <c r="F338">
        <v>78.680000000000007</v>
      </c>
    </row>
    <row r="339" spans="1:6">
      <c r="A339">
        <v>8240</v>
      </c>
      <c r="B339" t="s">
        <v>1812</v>
      </c>
      <c r="C339">
        <v>14.75</v>
      </c>
      <c r="D339">
        <f>VLOOKUP(A339,收盤價!A:C,3,0)</f>
        <v>20.100000000000001</v>
      </c>
      <c r="E339" s="163">
        <v>0.36271186440677977</v>
      </c>
      <c r="F339">
        <v>78.61</v>
      </c>
    </row>
    <row r="340" spans="1:6">
      <c r="A340">
        <v>5328</v>
      </c>
      <c r="B340" t="s">
        <v>1657</v>
      </c>
      <c r="C340">
        <v>3.86</v>
      </c>
      <c r="D340">
        <f>VLOOKUP(A340,收盤價!A:C,3,0)</f>
        <v>5.26</v>
      </c>
      <c r="E340" s="163">
        <v>0.36269430051813473</v>
      </c>
      <c r="F340">
        <v>78.55</v>
      </c>
    </row>
    <row r="341" spans="1:6">
      <c r="A341">
        <v>3588</v>
      </c>
      <c r="B341" t="s">
        <v>1152</v>
      </c>
      <c r="C341">
        <v>21.95</v>
      </c>
      <c r="D341">
        <f>VLOOKUP(A341,收盤價!A:C,3,0)</f>
        <v>29.9</v>
      </c>
      <c r="E341" s="163">
        <v>0.36218678815489747</v>
      </c>
      <c r="F341">
        <v>78.489999999999995</v>
      </c>
    </row>
    <row r="342" spans="1:6">
      <c r="A342">
        <v>8422</v>
      </c>
      <c r="B342" t="s">
        <v>1364</v>
      </c>
      <c r="C342">
        <v>130</v>
      </c>
      <c r="D342">
        <f>VLOOKUP(A342,收盤價!A:C,3,0)</f>
        <v>177</v>
      </c>
      <c r="E342" s="163">
        <v>0.36153846153846153</v>
      </c>
      <c r="F342">
        <v>78.42</v>
      </c>
    </row>
    <row r="343" spans="1:6">
      <c r="A343">
        <v>1558</v>
      </c>
      <c r="B343" t="s">
        <v>674</v>
      </c>
      <c r="C343">
        <v>101</v>
      </c>
      <c r="D343">
        <f>VLOOKUP(A343,收盤價!A:C,3,0)</f>
        <v>137.5</v>
      </c>
      <c r="E343" s="163">
        <v>0.36138613861386137</v>
      </c>
      <c r="F343">
        <v>78.36</v>
      </c>
    </row>
    <row r="344" spans="1:6">
      <c r="A344">
        <v>2438</v>
      </c>
      <c r="B344" t="s">
        <v>889</v>
      </c>
      <c r="C344">
        <v>11.1</v>
      </c>
      <c r="D344">
        <f>VLOOKUP(A344,收盤價!A:C,3,0)</f>
        <v>15.1</v>
      </c>
      <c r="E344" s="163">
        <v>0.3603603603603604</v>
      </c>
      <c r="F344">
        <v>78.3</v>
      </c>
    </row>
    <row r="345" spans="1:6">
      <c r="A345">
        <v>1724</v>
      </c>
      <c r="B345" t="s">
        <v>714</v>
      </c>
      <c r="C345">
        <v>11.25</v>
      </c>
      <c r="D345">
        <f>VLOOKUP(A345,收盤價!A:C,3,0)</f>
        <v>15.3</v>
      </c>
      <c r="E345" s="163">
        <v>0.36000000000000004</v>
      </c>
      <c r="F345">
        <v>78.23</v>
      </c>
    </row>
    <row r="346" spans="1:6">
      <c r="A346">
        <v>4160</v>
      </c>
      <c r="B346" t="s">
        <v>1576</v>
      </c>
      <c r="C346">
        <v>22.8</v>
      </c>
      <c r="D346">
        <f>VLOOKUP(A346,收盤價!A:C,3,0)</f>
        <v>31</v>
      </c>
      <c r="E346" s="163">
        <v>0.3596491228070175</v>
      </c>
      <c r="F346">
        <v>78.17</v>
      </c>
    </row>
    <row r="347" spans="1:6">
      <c r="A347">
        <v>5398</v>
      </c>
      <c r="B347" t="s">
        <v>428</v>
      </c>
      <c r="C347">
        <v>16.7</v>
      </c>
      <c r="D347">
        <f>VLOOKUP(A347,收盤價!A:C,3,0)</f>
        <v>22.7</v>
      </c>
      <c r="E347" s="163">
        <v>0.3592814371257485</v>
      </c>
      <c r="F347">
        <v>78.11</v>
      </c>
    </row>
    <row r="348" spans="1:6">
      <c r="A348">
        <v>2455</v>
      </c>
      <c r="B348" t="s">
        <v>902</v>
      </c>
      <c r="C348">
        <v>34.15</v>
      </c>
      <c r="D348">
        <f>VLOOKUP(A348,收盤價!A:C,3,0)</f>
        <v>46.4</v>
      </c>
      <c r="E348" s="163">
        <v>0.35871156661786241</v>
      </c>
      <c r="F348">
        <v>78.040000000000006</v>
      </c>
    </row>
    <row r="349" spans="1:6">
      <c r="A349">
        <v>4725</v>
      </c>
      <c r="B349" t="s">
        <v>1198</v>
      </c>
      <c r="C349">
        <v>10.75</v>
      </c>
      <c r="D349">
        <f>VLOOKUP(A349,收盤價!A:C,3,0)</f>
        <v>14.6</v>
      </c>
      <c r="E349" s="163">
        <v>0.35813953488372091</v>
      </c>
      <c r="F349">
        <v>77.98</v>
      </c>
    </row>
    <row r="350" spans="1:6">
      <c r="A350">
        <v>3202</v>
      </c>
      <c r="B350" t="s">
        <v>1484</v>
      </c>
      <c r="C350">
        <v>4.47</v>
      </c>
      <c r="D350">
        <f>VLOOKUP(A350,收盤價!A:C,3,0)</f>
        <v>6.07</v>
      </c>
      <c r="E350" s="163">
        <v>0.3579418344519017</v>
      </c>
      <c r="F350">
        <v>77.92</v>
      </c>
    </row>
    <row r="351" spans="1:6">
      <c r="A351">
        <v>2444</v>
      </c>
      <c r="B351" t="s">
        <v>895</v>
      </c>
      <c r="C351">
        <v>8.4</v>
      </c>
      <c r="D351">
        <f>VLOOKUP(A351,收盤價!A:C,3,0)</f>
        <v>11.4</v>
      </c>
      <c r="E351" s="163">
        <v>0.35714285714285715</v>
      </c>
      <c r="F351">
        <v>77.849999999999994</v>
      </c>
    </row>
    <row r="352" spans="1:6">
      <c r="A352">
        <v>6129</v>
      </c>
      <c r="B352" t="s">
        <v>1720</v>
      </c>
      <c r="C352">
        <v>5.27</v>
      </c>
      <c r="D352">
        <f>VLOOKUP(A352,收盤價!A:C,3,0)</f>
        <v>7.15</v>
      </c>
      <c r="E352" s="163">
        <v>0.35673624288425065</v>
      </c>
      <c r="F352">
        <v>77.790000000000006</v>
      </c>
    </row>
    <row r="353" spans="1:6">
      <c r="A353">
        <v>3044</v>
      </c>
      <c r="B353" t="s">
        <v>1080</v>
      </c>
      <c r="C353">
        <v>41.5</v>
      </c>
      <c r="D353">
        <f>VLOOKUP(A353,收盤價!A:C,3,0)</f>
        <v>56.3</v>
      </c>
      <c r="E353" s="163">
        <v>0.35662650602409629</v>
      </c>
      <c r="F353">
        <v>77.73</v>
      </c>
    </row>
    <row r="354" spans="1:6">
      <c r="A354">
        <v>8110</v>
      </c>
      <c r="B354" t="s">
        <v>1346</v>
      </c>
      <c r="C354">
        <v>6.75</v>
      </c>
      <c r="D354">
        <f>VLOOKUP(A354,收盤價!A:C,3,0)</f>
        <v>9.15</v>
      </c>
      <c r="E354" s="163">
        <v>0.35555555555555562</v>
      </c>
      <c r="F354">
        <v>77.67</v>
      </c>
    </row>
    <row r="355" spans="1:6">
      <c r="A355">
        <v>3059</v>
      </c>
      <c r="B355" t="s">
        <v>1094</v>
      </c>
      <c r="C355">
        <v>20.45</v>
      </c>
      <c r="D355">
        <f>VLOOKUP(A355,收盤價!A:C,3,0)</f>
        <v>27.7</v>
      </c>
      <c r="E355" s="163">
        <v>0.3545232273838631</v>
      </c>
      <c r="F355">
        <v>77.599999999999994</v>
      </c>
    </row>
    <row r="356" spans="1:6">
      <c r="A356">
        <v>4133</v>
      </c>
      <c r="B356" t="s">
        <v>1182</v>
      </c>
      <c r="C356">
        <v>24.3</v>
      </c>
      <c r="D356">
        <f>VLOOKUP(A356,收盤價!A:C,3,0)</f>
        <v>32.9</v>
      </c>
      <c r="E356" s="163">
        <v>0.35390946502057602</v>
      </c>
      <c r="F356">
        <v>77.540000000000006</v>
      </c>
    </row>
    <row r="357" spans="1:6">
      <c r="A357">
        <v>2441</v>
      </c>
      <c r="B357" t="s">
        <v>892</v>
      </c>
      <c r="C357">
        <v>26.2</v>
      </c>
      <c r="D357">
        <f>VLOOKUP(A357,收盤價!A:C,3,0)</f>
        <v>35.450000000000003</v>
      </c>
      <c r="E357" s="163">
        <v>0.35305343511450399</v>
      </c>
      <c r="F357">
        <v>77.48</v>
      </c>
    </row>
    <row r="358" spans="1:6">
      <c r="A358">
        <v>5264</v>
      </c>
      <c r="B358" t="s">
        <v>1231</v>
      </c>
      <c r="C358">
        <v>112</v>
      </c>
      <c r="D358">
        <f>VLOOKUP(A358,收盤價!A:C,3,0)</f>
        <v>151.5</v>
      </c>
      <c r="E358" s="163">
        <v>0.35267857142857145</v>
      </c>
      <c r="F358">
        <v>77.41</v>
      </c>
    </row>
    <row r="359" spans="1:6">
      <c r="A359">
        <v>3260</v>
      </c>
      <c r="B359" t="s">
        <v>1494</v>
      </c>
      <c r="C359">
        <v>24.9</v>
      </c>
      <c r="D359">
        <f>VLOOKUP(A359,收盤價!A:C,3,0)</f>
        <v>33.65</v>
      </c>
      <c r="E359" s="163">
        <v>0.35140562248995988</v>
      </c>
      <c r="F359">
        <v>77.349999999999994</v>
      </c>
    </row>
    <row r="360" spans="1:6">
      <c r="A360">
        <v>8924</v>
      </c>
      <c r="B360" t="s">
        <v>1838</v>
      </c>
      <c r="C360">
        <v>12.95</v>
      </c>
      <c r="D360">
        <f>VLOOKUP(A360,收盤價!A:C,3,0)</f>
        <v>17.5</v>
      </c>
      <c r="E360" s="163">
        <v>0.35135135135135143</v>
      </c>
      <c r="F360">
        <v>77.290000000000006</v>
      </c>
    </row>
    <row r="361" spans="1:6">
      <c r="A361">
        <v>3164</v>
      </c>
      <c r="B361" t="s">
        <v>1101</v>
      </c>
      <c r="C361">
        <v>18.5</v>
      </c>
      <c r="D361">
        <f>VLOOKUP(A361,收盤價!A:C,3,0)</f>
        <v>25</v>
      </c>
      <c r="E361" s="163">
        <v>0.35135135135135137</v>
      </c>
      <c r="F361">
        <v>77.22</v>
      </c>
    </row>
    <row r="362" spans="1:6">
      <c r="A362">
        <v>3527</v>
      </c>
      <c r="B362" t="s">
        <v>338</v>
      </c>
      <c r="C362">
        <v>32.450000000000003</v>
      </c>
      <c r="D362">
        <f>VLOOKUP(A362,收盤價!A:C,3,0)</f>
        <v>43.85</v>
      </c>
      <c r="E362" s="163">
        <v>0.35130970724191057</v>
      </c>
      <c r="F362">
        <v>77.16</v>
      </c>
    </row>
    <row r="363" spans="1:6">
      <c r="A363">
        <v>2504</v>
      </c>
      <c r="B363" t="s">
        <v>939</v>
      </c>
      <c r="C363">
        <v>6.67</v>
      </c>
      <c r="D363">
        <f>VLOOKUP(A363,收盤價!A:C,3,0)</f>
        <v>9</v>
      </c>
      <c r="E363" s="163">
        <v>0.34932533733133436</v>
      </c>
      <c r="F363">
        <v>77.099999999999994</v>
      </c>
    </row>
    <row r="364" spans="1:6">
      <c r="A364">
        <v>2323</v>
      </c>
      <c r="B364" t="s">
        <v>806</v>
      </c>
      <c r="C364">
        <v>2.52</v>
      </c>
      <c r="D364">
        <f>VLOOKUP(A364,收盤價!A:C,3,0)</f>
        <v>3.4</v>
      </c>
      <c r="E364" s="163">
        <v>0.34920634920634919</v>
      </c>
      <c r="F364">
        <v>77.03</v>
      </c>
    </row>
    <row r="365" spans="1:6">
      <c r="A365">
        <v>1730</v>
      </c>
      <c r="B365" t="s">
        <v>719</v>
      </c>
      <c r="C365">
        <v>26.7</v>
      </c>
      <c r="D365">
        <f>VLOOKUP(A365,收盤價!A:C,3,0)</f>
        <v>36</v>
      </c>
      <c r="E365" s="163">
        <v>0.34831460674157305</v>
      </c>
      <c r="F365">
        <v>76.97</v>
      </c>
    </row>
    <row r="366" spans="1:6">
      <c r="A366">
        <v>1783</v>
      </c>
      <c r="B366" t="s">
        <v>729</v>
      </c>
      <c r="C366">
        <v>16.8</v>
      </c>
      <c r="D366">
        <f>VLOOKUP(A366,收盤價!A:C,3,0)</f>
        <v>22.65</v>
      </c>
      <c r="E366" s="163">
        <v>0.34821428571428559</v>
      </c>
      <c r="F366">
        <v>76.91</v>
      </c>
    </row>
    <row r="367" spans="1:6">
      <c r="A367">
        <v>3372</v>
      </c>
      <c r="B367" t="s">
        <v>322</v>
      </c>
      <c r="C367">
        <v>5.86</v>
      </c>
      <c r="D367">
        <f>VLOOKUP(A367,收盤價!A:C,3,0)</f>
        <v>7.9</v>
      </c>
      <c r="E367" s="163">
        <v>0.34812286689419791</v>
      </c>
      <c r="F367">
        <v>76.849999999999994</v>
      </c>
    </row>
    <row r="368" spans="1:6">
      <c r="A368">
        <v>3437</v>
      </c>
      <c r="B368" t="s">
        <v>1125</v>
      </c>
      <c r="C368">
        <v>19</v>
      </c>
      <c r="D368">
        <f>VLOOKUP(A368,收盤價!A:C,3,0)</f>
        <v>25.6</v>
      </c>
      <c r="E368" s="163">
        <v>0.34736842105263166</v>
      </c>
      <c r="F368">
        <v>76.78</v>
      </c>
    </row>
    <row r="369" spans="1:6">
      <c r="A369">
        <v>1305</v>
      </c>
      <c r="B369" t="s">
        <v>573</v>
      </c>
      <c r="C369">
        <v>10.95</v>
      </c>
      <c r="D369">
        <f>VLOOKUP(A369,收盤價!A:C,3,0)</f>
        <v>14.75</v>
      </c>
      <c r="E369" s="163">
        <v>0.34703196347031973</v>
      </c>
      <c r="F369">
        <v>76.72</v>
      </c>
    </row>
    <row r="370" spans="1:6">
      <c r="A370">
        <v>4123</v>
      </c>
      <c r="B370" t="s">
        <v>1567</v>
      </c>
      <c r="C370">
        <v>55.2</v>
      </c>
      <c r="D370">
        <f>VLOOKUP(A370,收盤價!A:C,3,0)</f>
        <v>74.3</v>
      </c>
      <c r="E370" s="163">
        <v>0.34601449275362306</v>
      </c>
      <c r="F370">
        <v>76.66</v>
      </c>
    </row>
    <row r="371" spans="1:6">
      <c r="A371">
        <v>6125</v>
      </c>
      <c r="B371" t="s">
        <v>453</v>
      </c>
      <c r="C371">
        <v>9.25</v>
      </c>
      <c r="D371">
        <f>VLOOKUP(A371,收盤價!A:C,3,0)</f>
        <v>12.45</v>
      </c>
      <c r="E371" s="163">
        <v>0.34594594594594585</v>
      </c>
      <c r="F371">
        <v>76.59</v>
      </c>
    </row>
    <row r="372" spans="1:6">
      <c r="A372">
        <v>910801</v>
      </c>
      <c r="B372" t="s">
        <v>1379</v>
      </c>
      <c r="C372">
        <v>3.85</v>
      </c>
      <c r="D372">
        <f>VLOOKUP(A372,收盤價!A:C,3,0)</f>
        <v>5.18</v>
      </c>
      <c r="E372" s="163">
        <v>0.34545454545454535</v>
      </c>
      <c r="F372">
        <v>76.53</v>
      </c>
    </row>
    <row r="373" spans="1:6">
      <c r="A373">
        <v>2393</v>
      </c>
      <c r="B373" t="s">
        <v>857</v>
      </c>
      <c r="C373">
        <v>35.950000000000003</v>
      </c>
      <c r="D373">
        <f>VLOOKUP(A373,收盤價!A:C,3,0)</f>
        <v>48.35</v>
      </c>
      <c r="E373" s="163">
        <v>0.34492350486787199</v>
      </c>
      <c r="F373">
        <v>76.47</v>
      </c>
    </row>
    <row r="374" spans="1:6">
      <c r="A374">
        <v>4120</v>
      </c>
      <c r="B374" t="s">
        <v>364</v>
      </c>
      <c r="C374">
        <v>43.5</v>
      </c>
      <c r="D374">
        <f>VLOOKUP(A374,收盤價!A:C,3,0)</f>
        <v>58.5</v>
      </c>
      <c r="E374" s="163">
        <v>0.34482758620689657</v>
      </c>
      <c r="F374">
        <v>76.400000000000006</v>
      </c>
    </row>
    <row r="375" spans="1:6">
      <c r="A375">
        <v>2340</v>
      </c>
      <c r="B375" t="s">
        <v>817</v>
      </c>
      <c r="C375">
        <v>7.41</v>
      </c>
      <c r="D375">
        <f>VLOOKUP(A375,收盤價!A:C,3,0)</f>
        <v>9.9499999999999993</v>
      </c>
      <c r="E375" s="163">
        <v>0.34278002699055321</v>
      </c>
      <c r="F375">
        <v>76.34</v>
      </c>
    </row>
    <row r="376" spans="1:6">
      <c r="A376">
        <v>1711</v>
      </c>
      <c r="B376" t="s">
        <v>703</v>
      </c>
      <c r="C376">
        <v>14.9</v>
      </c>
      <c r="D376">
        <f>VLOOKUP(A376,收盤價!A:C,3,0)</f>
        <v>20</v>
      </c>
      <c r="E376" s="163">
        <v>0.34228187919463082</v>
      </c>
      <c r="F376">
        <v>76.28</v>
      </c>
    </row>
    <row r="377" spans="1:6">
      <c r="A377">
        <v>3224</v>
      </c>
      <c r="B377" t="s">
        <v>1491</v>
      </c>
      <c r="C377">
        <v>24.85</v>
      </c>
      <c r="D377">
        <f>VLOOKUP(A377,收盤價!A:C,3,0)</f>
        <v>33.35</v>
      </c>
      <c r="E377" s="163">
        <v>0.34205231388329976</v>
      </c>
      <c r="F377">
        <v>76.209999999999994</v>
      </c>
    </row>
    <row r="378" spans="1:6">
      <c r="A378">
        <v>2062</v>
      </c>
      <c r="B378" t="s">
        <v>773</v>
      </c>
      <c r="C378">
        <v>31.2</v>
      </c>
      <c r="D378">
        <f>VLOOKUP(A378,收盤價!A:C,3,0)</f>
        <v>41.85</v>
      </c>
      <c r="E378" s="163">
        <v>0.34134615384615391</v>
      </c>
      <c r="F378">
        <v>76.150000000000006</v>
      </c>
    </row>
    <row r="379" spans="1:6">
      <c r="A379">
        <v>3693</v>
      </c>
      <c r="B379" t="s">
        <v>361</v>
      </c>
      <c r="C379">
        <v>83.5</v>
      </c>
      <c r="D379">
        <f>VLOOKUP(A379,收盤價!A:C,3,0)</f>
        <v>112</v>
      </c>
      <c r="E379" s="163">
        <v>0.3413173652694611</v>
      </c>
      <c r="F379">
        <v>76.09</v>
      </c>
    </row>
    <row r="380" spans="1:6">
      <c r="A380">
        <v>3057</v>
      </c>
      <c r="B380" t="s">
        <v>1092</v>
      </c>
      <c r="C380">
        <v>12.9</v>
      </c>
      <c r="D380">
        <f>VLOOKUP(A380,收盤價!A:C,3,0)</f>
        <v>17.3</v>
      </c>
      <c r="E380" s="163">
        <v>0.34108527131782945</v>
      </c>
      <c r="F380">
        <v>76.03</v>
      </c>
    </row>
    <row r="381" spans="1:6">
      <c r="A381">
        <v>5452</v>
      </c>
      <c r="B381" t="s">
        <v>433</v>
      </c>
      <c r="C381">
        <v>7.1</v>
      </c>
      <c r="D381">
        <f>VLOOKUP(A381,收盤價!A:C,3,0)</f>
        <v>9.52</v>
      </c>
      <c r="E381" s="163">
        <v>0.3408450704225352</v>
      </c>
      <c r="F381">
        <v>75.959999999999994</v>
      </c>
    </row>
    <row r="382" spans="1:6">
      <c r="A382">
        <v>4104</v>
      </c>
      <c r="B382" t="s">
        <v>1178</v>
      </c>
      <c r="C382">
        <v>37</v>
      </c>
      <c r="D382">
        <f>VLOOKUP(A382,收盤價!A:C,3,0)</f>
        <v>49.6</v>
      </c>
      <c r="E382" s="163">
        <v>0.34054054054054056</v>
      </c>
      <c r="F382">
        <v>75.900000000000006</v>
      </c>
    </row>
    <row r="383" spans="1:6">
      <c r="A383">
        <v>6412</v>
      </c>
      <c r="B383" t="s">
        <v>1319</v>
      </c>
      <c r="C383">
        <v>28.35</v>
      </c>
      <c r="D383">
        <f>VLOOKUP(A383,收盤價!A:C,3,0)</f>
        <v>38</v>
      </c>
      <c r="E383" s="163">
        <v>0.34038800705467365</v>
      </c>
      <c r="F383">
        <v>75.84</v>
      </c>
    </row>
    <row r="384" spans="1:6">
      <c r="A384">
        <v>2368</v>
      </c>
      <c r="B384" t="s">
        <v>840</v>
      </c>
      <c r="C384">
        <v>7.41</v>
      </c>
      <c r="D384">
        <f>VLOOKUP(A384,收盤價!A:C,3,0)</f>
        <v>9.93</v>
      </c>
      <c r="E384" s="163">
        <v>0.34008097165991896</v>
      </c>
      <c r="F384">
        <v>75.77</v>
      </c>
    </row>
    <row r="385" spans="1:6">
      <c r="A385">
        <v>3081</v>
      </c>
      <c r="B385" t="s">
        <v>1470</v>
      </c>
      <c r="C385">
        <v>362</v>
      </c>
      <c r="D385">
        <f>VLOOKUP(A385,收盤價!A:C,3,0)</f>
        <v>485</v>
      </c>
      <c r="E385" s="163">
        <v>0.3397790055248619</v>
      </c>
      <c r="F385">
        <v>75.709999999999994</v>
      </c>
    </row>
    <row r="386" spans="1:6">
      <c r="A386">
        <v>1707</v>
      </c>
      <c r="B386" t="s">
        <v>699</v>
      </c>
      <c r="C386">
        <v>134</v>
      </c>
      <c r="D386">
        <f>VLOOKUP(A386,收盤價!A:C,3,0)</f>
        <v>179.5</v>
      </c>
      <c r="E386" s="163">
        <v>0.33955223880597013</v>
      </c>
      <c r="F386">
        <v>75.650000000000006</v>
      </c>
    </row>
    <row r="387" spans="1:6">
      <c r="A387">
        <v>2484</v>
      </c>
      <c r="B387" t="s">
        <v>925</v>
      </c>
      <c r="C387">
        <v>13.7</v>
      </c>
      <c r="D387">
        <f>VLOOKUP(A387,收盤價!A:C,3,0)</f>
        <v>18.350000000000001</v>
      </c>
      <c r="E387" s="163">
        <v>0.33941605839416078</v>
      </c>
      <c r="F387">
        <v>75.58</v>
      </c>
    </row>
    <row r="388" spans="1:6">
      <c r="A388">
        <v>2420</v>
      </c>
      <c r="B388" t="s">
        <v>874</v>
      </c>
      <c r="C388">
        <v>32.299999999999997</v>
      </c>
      <c r="D388">
        <f>VLOOKUP(A388,收盤價!A:C,3,0)</f>
        <v>43.25</v>
      </c>
      <c r="E388" s="163">
        <v>0.33900928792569673</v>
      </c>
      <c r="F388">
        <v>75.52</v>
      </c>
    </row>
    <row r="389" spans="1:6">
      <c r="A389">
        <v>3034</v>
      </c>
      <c r="B389" t="s">
        <v>1071</v>
      </c>
      <c r="C389">
        <v>102</v>
      </c>
      <c r="D389">
        <f>VLOOKUP(A389,收盤價!A:C,3,0)</f>
        <v>136.5</v>
      </c>
      <c r="E389" s="163">
        <v>0.33823529411764708</v>
      </c>
      <c r="F389">
        <v>75.459999999999994</v>
      </c>
    </row>
    <row r="390" spans="1:6">
      <c r="A390">
        <v>8096</v>
      </c>
      <c r="B390" t="s">
        <v>1800</v>
      </c>
      <c r="C390">
        <v>14.2</v>
      </c>
      <c r="D390">
        <f>VLOOKUP(A390,收盤價!A:C,3,0)</f>
        <v>19</v>
      </c>
      <c r="E390" s="163">
        <v>0.33802816901408456</v>
      </c>
      <c r="F390">
        <v>75.39</v>
      </c>
    </row>
    <row r="391" spans="1:6">
      <c r="A391">
        <v>3209</v>
      </c>
      <c r="B391" t="s">
        <v>1104</v>
      </c>
      <c r="C391">
        <v>18.7</v>
      </c>
      <c r="D391">
        <f>VLOOKUP(A391,收盤價!A:C,3,0)</f>
        <v>25</v>
      </c>
      <c r="E391" s="163">
        <v>0.3368983957219252</v>
      </c>
      <c r="F391">
        <v>75.33</v>
      </c>
    </row>
    <row r="392" spans="1:6">
      <c r="A392">
        <v>3501</v>
      </c>
      <c r="B392" t="s">
        <v>1132</v>
      </c>
      <c r="C392">
        <v>39.5</v>
      </c>
      <c r="D392">
        <f>VLOOKUP(A392,收盤價!A:C,3,0)</f>
        <v>52.8</v>
      </c>
      <c r="E392" s="163">
        <v>0.33670886075949358</v>
      </c>
      <c r="F392">
        <v>75.27</v>
      </c>
    </row>
    <row r="393" spans="1:6">
      <c r="A393">
        <v>5349</v>
      </c>
      <c r="B393" t="s">
        <v>1661</v>
      </c>
      <c r="C393">
        <v>24.25</v>
      </c>
      <c r="D393">
        <f>VLOOKUP(A393,收盤價!A:C,3,0)</f>
        <v>32.4</v>
      </c>
      <c r="E393" s="163">
        <v>0.33608247422680404</v>
      </c>
      <c r="F393">
        <v>75.209999999999994</v>
      </c>
    </row>
    <row r="394" spans="1:6">
      <c r="A394">
        <v>3706</v>
      </c>
      <c r="B394" t="s">
        <v>1177</v>
      </c>
      <c r="C394">
        <v>18.75</v>
      </c>
      <c r="D394">
        <f>VLOOKUP(A394,收盤價!A:C,3,0)</f>
        <v>25.05</v>
      </c>
      <c r="E394" s="163">
        <v>0.33600000000000002</v>
      </c>
      <c r="F394">
        <v>75.14</v>
      </c>
    </row>
    <row r="395" spans="1:6">
      <c r="A395">
        <v>2369</v>
      </c>
      <c r="B395" t="s">
        <v>841</v>
      </c>
      <c r="C395">
        <v>6.77</v>
      </c>
      <c r="D395">
        <f>VLOOKUP(A395,收盤價!A:C,3,0)</f>
        <v>9.0399999999999991</v>
      </c>
      <c r="E395" s="163">
        <v>0.33530280649926142</v>
      </c>
      <c r="F395">
        <v>75.08</v>
      </c>
    </row>
    <row r="396" spans="1:6">
      <c r="A396">
        <v>3043</v>
      </c>
      <c r="B396" t="s">
        <v>1079</v>
      </c>
      <c r="C396">
        <v>2.2999999999999998</v>
      </c>
      <c r="D396">
        <f>VLOOKUP(A396,收盤價!A:C,3,0)</f>
        <v>3.07</v>
      </c>
      <c r="E396" s="163">
        <v>0.33478260869565218</v>
      </c>
      <c r="F396">
        <v>75.02</v>
      </c>
    </row>
    <row r="397" spans="1:6">
      <c r="A397">
        <v>6215</v>
      </c>
      <c r="B397" t="s">
        <v>1296</v>
      </c>
      <c r="C397">
        <v>9.75</v>
      </c>
      <c r="D397">
        <f>VLOOKUP(A397,收盤價!A:C,3,0)</f>
        <v>13</v>
      </c>
      <c r="E397" s="163">
        <v>0.33333333333333331</v>
      </c>
      <c r="F397">
        <v>74.95</v>
      </c>
    </row>
    <row r="398" spans="1:6">
      <c r="A398">
        <v>4131</v>
      </c>
      <c r="B398" t="s">
        <v>1571</v>
      </c>
      <c r="C398">
        <v>7.2</v>
      </c>
      <c r="D398">
        <f>VLOOKUP(A398,收盤價!A:C,3,0)</f>
        <v>9.6</v>
      </c>
      <c r="E398" s="163">
        <v>0.33333333333333326</v>
      </c>
      <c r="F398">
        <v>74.89</v>
      </c>
    </row>
    <row r="399" spans="1:6">
      <c r="A399">
        <v>8155</v>
      </c>
      <c r="B399" t="s">
        <v>1807</v>
      </c>
      <c r="C399">
        <v>13.05</v>
      </c>
      <c r="D399">
        <f>VLOOKUP(A399,收盤價!A:C,3,0)</f>
        <v>17.399999999999999</v>
      </c>
      <c r="E399" s="163">
        <v>0.33333333333333315</v>
      </c>
      <c r="F399">
        <v>74.83</v>
      </c>
    </row>
    <row r="400" spans="1:6">
      <c r="A400">
        <v>1734</v>
      </c>
      <c r="B400" t="s">
        <v>723</v>
      </c>
      <c r="C400">
        <v>21.4</v>
      </c>
      <c r="D400">
        <f>VLOOKUP(A400,收盤價!A:C,3,0)</f>
        <v>28.5</v>
      </c>
      <c r="E400" s="163">
        <v>0.33177570093457953</v>
      </c>
      <c r="F400">
        <v>74.760000000000005</v>
      </c>
    </row>
    <row r="401" spans="1:6">
      <c r="A401">
        <v>3567</v>
      </c>
      <c r="B401" t="s">
        <v>1538</v>
      </c>
      <c r="C401">
        <v>10.1</v>
      </c>
      <c r="D401">
        <f>VLOOKUP(A401,收盤價!A:C,3,0)</f>
        <v>13.45</v>
      </c>
      <c r="E401" s="163">
        <v>0.33168316831683164</v>
      </c>
      <c r="F401">
        <v>74.7</v>
      </c>
    </row>
    <row r="402" spans="1:6">
      <c r="A402">
        <v>8255</v>
      </c>
      <c r="B402" t="s">
        <v>1813</v>
      </c>
      <c r="C402">
        <v>86</v>
      </c>
      <c r="D402">
        <f>VLOOKUP(A402,收盤價!A:C,3,0)</f>
        <v>114.5</v>
      </c>
      <c r="E402" s="163">
        <v>0.33139534883720928</v>
      </c>
      <c r="F402">
        <v>74.64</v>
      </c>
    </row>
    <row r="403" spans="1:6">
      <c r="A403">
        <v>2028</v>
      </c>
      <c r="B403" t="s">
        <v>763</v>
      </c>
      <c r="C403">
        <v>1.27</v>
      </c>
      <c r="D403">
        <f>VLOOKUP(A403,收盤價!A:C,3,0)</f>
        <v>1.69</v>
      </c>
      <c r="E403" s="163">
        <v>0.33070866141732275</v>
      </c>
      <c r="F403">
        <v>74.569999999999993</v>
      </c>
    </row>
    <row r="404" spans="1:6">
      <c r="A404">
        <v>3704</v>
      </c>
      <c r="B404" t="s">
        <v>1175</v>
      </c>
      <c r="C404">
        <v>9.6999999999999993</v>
      </c>
      <c r="D404">
        <f>VLOOKUP(A404,收盤價!A:C,3,0)</f>
        <v>12.9</v>
      </c>
      <c r="E404" s="163">
        <v>0.32989690721649501</v>
      </c>
      <c r="F404">
        <v>74.510000000000005</v>
      </c>
    </row>
    <row r="405" spans="1:6">
      <c r="A405">
        <v>8936</v>
      </c>
      <c r="B405" t="s">
        <v>1844</v>
      </c>
      <c r="C405">
        <v>27</v>
      </c>
      <c r="D405">
        <f>VLOOKUP(A405,收盤價!A:C,3,0)</f>
        <v>35.9</v>
      </c>
      <c r="E405" s="163">
        <v>0.32962962962962955</v>
      </c>
      <c r="F405">
        <v>74.45</v>
      </c>
    </row>
    <row r="406" spans="1:6">
      <c r="A406">
        <v>3149</v>
      </c>
      <c r="B406" t="s">
        <v>1100</v>
      </c>
      <c r="C406">
        <v>9.56</v>
      </c>
      <c r="D406">
        <f>VLOOKUP(A406,收盤價!A:C,3,0)</f>
        <v>12.7</v>
      </c>
      <c r="E406" s="163">
        <v>0.32845188284518811</v>
      </c>
      <c r="F406">
        <v>74.38</v>
      </c>
    </row>
    <row r="407" spans="1:6">
      <c r="A407">
        <v>5274</v>
      </c>
      <c r="B407" t="s">
        <v>1647</v>
      </c>
      <c r="C407">
        <v>247</v>
      </c>
      <c r="D407">
        <f>VLOOKUP(A407,收盤價!A:C,3,0)</f>
        <v>328</v>
      </c>
      <c r="E407" s="163">
        <v>0.32793522267206476</v>
      </c>
      <c r="F407">
        <v>74.319999999999993</v>
      </c>
    </row>
    <row r="408" spans="1:6">
      <c r="A408">
        <v>3023</v>
      </c>
      <c r="B408" t="s">
        <v>1060</v>
      </c>
      <c r="C408">
        <v>46.5</v>
      </c>
      <c r="D408">
        <f>VLOOKUP(A408,收盤價!A:C,3,0)</f>
        <v>61.7</v>
      </c>
      <c r="E408" s="163">
        <v>0.3268817204301076</v>
      </c>
      <c r="F408">
        <v>74.260000000000005</v>
      </c>
    </row>
    <row r="409" spans="1:6">
      <c r="A409">
        <v>2726</v>
      </c>
      <c r="B409" t="s">
        <v>1459</v>
      </c>
      <c r="C409">
        <v>48</v>
      </c>
      <c r="D409">
        <f>VLOOKUP(A409,收盤價!A:C,3,0)</f>
        <v>63.6</v>
      </c>
      <c r="E409" s="163">
        <v>0.32500000000000001</v>
      </c>
      <c r="F409">
        <v>74.2</v>
      </c>
    </row>
    <row r="410" spans="1:6">
      <c r="A410">
        <v>1721</v>
      </c>
      <c r="B410" t="s">
        <v>711</v>
      </c>
      <c r="C410">
        <v>9.2100000000000009</v>
      </c>
      <c r="D410">
        <f>VLOOKUP(A410,收盤價!A:C,3,0)</f>
        <v>12.2</v>
      </c>
      <c r="E410" s="163">
        <v>0.32464712269272511</v>
      </c>
      <c r="F410">
        <v>74.13</v>
      </c>
    </row>
    <row r="411" spans="1:6">
      <c r="A411">
        <v>2399</v>
      </c>
      <c r="B411" t="s">
        <v>860</v>
      </c>
      <c r="C411">
        <v>5.36</v>
      </c>
      <c r="D411">
        <f>VLOOKUP(A411,收盤價!A:C,3,0)</f>
        <v>7.1</v>
      </c>
      <c r="E411" s="163">
        <v>0.32462686567164167</v>
      </c>
      <c r="F411">
        <v>74.069999999999993</v>
      </c>
    </row>
    <row r="412" spans="1:6">
      <c r="A412">
        <v>6148</v>
      </c>
      <c r="B412" t="s">
        <v>1727</v>
      </c>
      <c r="C412">
        <v>6.36</v>
      </c>
      <c r="D412">
        <f>VLOOKUP(A412,收盤價!A:C,3,0)</f>
        <v>8.42</v>
      </c>
      <c r="E412" s="163">
        <v>0.32389937106918232</v>
      </c>
      <c r="F412">
        <v>74.010000000000005</v>
      </c>
    </row>
    <row r="413" spans="1:6">
      <c r="A413">
        <v>5203</v>
      </c>
      <c r="B413" t="s">
        <v>1225</v>
      </c>
      <c r="C413">
        <v>52.2</v>
      </c>
      <c r="D413">
        <f>VLOOKUP(A413,收盤價!A:C,3,0)</f>
        <v>69.099999999999994</v>
      </c>
      <c r="E413" s="163">
        <v>0.3237547892720305</v>
      </c>
      <c r="F413">
        <v>73.94</v>
      </c>
    </row>
    <row r="414" spans="1:6">
      <c r="A414">
        <v>2929</v>
      </c>
      <c r="B414" t="s">
        <v>1043</v>
      </c>
      <c r="C414">
        <v>103.5</v>
      </c>
      <c r="D414">
        <f>VLOOKUP(A414,收盤價!A:C,3,0)</f>
        <v>137</v>
      </c>
      <c r="E414" s="163">
        <v>0.32367149758454106</v>
      </c>
      <c r="F414">
        <v>73.88</v>
      </c>
    </row>
    <row r="415" spans="1:6">
      <c r="A415">
        <v>1473</v>
      </c>
      <c r="B415" t="s">
        <v>639</v>
      </c>
      <c r="C415">
        <v>22.3</v>
      </c>
      <c r="D415">
        <f>VLOOKUP(A415,收盤價!A:C,3,0)</f>
        <v>29.5</v>
      </c>
      <c r="E415" s="163">
        <v>0.32286995515695061</v>
      </c>
      <c r="F415">
        <v>73.819999999999993</v>
      </c>
    </row>
    <row r="416" spans="1:6">
      <c r="A416">
        <v>3189</v>
      </c>
      <c r="B416" t="s">
        <v>1103</v>
      </c>
      <c r="C416">
        <v>51.2</v>
      </c>
      <c r="D416">
        <f>VLOOKUP(A416,收盤價!A:C,3,0)</f>
        <v>67.7</v>
      </c>
      <c r="E416" s="163">
        <v>0.322265625</v>
      </c>
      <c r="F416">
        <v>73.75</v>
      </c>
    </row>
    <row r="417" spans="1:6">
      <c r="A417">
        <v>4930</v>
      </c>
      <c r="B417" t="s">
        <v>1210</v>
      </c>
      <c r="C417">
        <v>11.5</v>
      </c>
      <c r="D417">
        <f>VLOOKUP(A417,收盤價!A:C,3,0)</f>
        <v>15.2</v>
      </c>
      <c r="E417" s="163">
        <v>0.32173913043478253</v>
      </c>
      <c r="F417">
        <v>73.69</v>
      </c>
    </row>
    <row r="418" spans="1:6">
      <c r="A418">
        <v>9919</v>
      </c>
      <c r="B418" t="s">
        <v>1409</v>
      </c>
      <c r="C418">
        <v>9.0500000000000007</v>
      </c>
      <c r="D418">
        <f>VLOOKUP(A418,收盤價!A:C,3,0)</f>
        <v>11.95</v>
      </c>
      <c r="E418" s="163">
        <v>0.32044198895027604</v>
      </c>
      <c r="F418">
        <v>73.63</v>
      </c>
    </row>
    <row r="419" spans="1:6">
      <c r="A419">
        <v>3048</v>
      </c>
      <c r="B419" t="s">
        <v>1084</v>
      </c>
      <c r="C419">
        <v>14.85</v>
      </c>
      <c r="D419">
        <f>VLOOKUP(A419,收盤價!A:C,3,0)</f>
        <v>19.600000000000001</v>
      </c>
      <c r="E419" s="163">
        <v>0.31986531986532002</v>
      </c>
      <c r="F419">
        <v>73.56</v>
      </c>
    </row>
    <row r="420" spans="1:6">
      <c r="A420">
        <v>6191</v>
      </c>
      <c r="B420" t="s">
        <v>1285</v>
      </c>
      <c r="C420">
        <v>5.38</v>
      </c>
      <c r="D420">
        <f>VLOOKUP(A420,收盤價!A:C,3,0)</f>
        <v>7.1</v>
      </c>
      <c r="E420" s="163">
        <v>0.31970260223048325</v>
      </c>
      <c r="F420">
        <v>73.5</v>
      </c>
    </row>
    <row r="421" spans="1:6">
      <c r="A421">
        <v>1777</v>
      </c>
      <c r="B421" t="s">
        <v>269</v>
      </c>
      <c r="C421">
        <v>65.8</v>
      </c>
      <c r="D421">
        <f>VLOOKUP(A421,收盤價!A:C,3,0)</f>
        <v>86.8</v>
      </c>
      <c r="E421" s="163">
        <v>0.31914893617021278</v>
      </c>
      <c r="F421">
        <v>73.44</v>
      </c>
    </row>
    <row r="422" spans="1:6">
      <c r="A422">
        <v>6123</v>
      </c>
      <c r="B422" t="s">
        <v>1716</v>
      </c>
      <c r="C422">
        <v>21</v>
      </c>
      <c r="D422">
        <f>VLOOKUP(A422,收盤價!A:C,3,0)</f>
        <v>27.7</v>
      </c>
      <c r="E422" s="163">
        <v>0.31904761904761902</v>
      </c>
      <c r="F422">
        <v>73.38</v>
      </c>
    </row>
    <row r="423" spans="1:6">
      <c r="A423">
        <v>3230</v>
      </c>
      <c r="B423" t="s">
        <v>1492</v>
      </c>
      <c r="C423">
        <v>4.3600000000000003</v>
      </c>
      <c r="D423">
        <f>VLOOKUP(A423,收盤價!A:C,3,0)</f>
        <v>5.75</v>
      </c>
      <c r="E423" s="163">
        <v>0.3188073394495412</v>
      </c>
      <c r="F423">
        <v>73.31</v>
      </c>
    </row>
    <row r="424" spans="1:6">
      <c r="A424">
        <v>3450</v>
      </c>
      <c r="B424" t="s">
        <v>1127</v>
      </c>
      <c r="C424">
        <v>98.6</v>
      </c>
      <c r="D424">
        <f>VLOOKUP(A424,收盤價!A:C,3,0)</f>
        <v>130</v>
      </c>
      <c r="E424" s="163">
        <v>0.31845841784989865</v>
      </c>
      <c r="F424">
        <v>73.25</v>
      </c>
    </row>
    <row r="425" spans="1:6">
      <c r="A425">
        <v>1592</v>
      </c>
      <c r="B425" t="s">
        <v>681</v>
      </c>
      <c r="C425">
        <v>21.2</v>
      </c>
      <c r="D425">
        <f>VLOOKUP(A425,收盤價!A:C,3,0)</f>
        <v>27.9</v>
      </c>
      <c r="E425" s="163">
        <v>0.31603773584905659</v>
      </c>
      <c r="F425">
        <v>73.19</v>
      </c>
    </row>
    <row r="426" spans="1:6">
      <c r="A426">
        <v>2344</v>
      </c>
      <c r="B426" t="s">
        <v>819</v>
      </c>
      <c r="C426">
        <v>6.14</v>
      </c>
      <c r="D426">
        <f>VLOOKUP(A426,收盤價!A:C,3,0)</f>
        <v>8.08</v>
      </c>
      <c r="E426" s="163">
        <v>0.31596091205211735</v>
      </c>
      <c r="F426">
        <v>73.12</v>
      </c>
    </row>
    <row r="427" spans="1:6">
      <c r="A427">
        <v>2462</v>
      </c>
      <c r="B427" t="s">
        <v>909</v>
      </c>
      <c r="C427">
        <v>12.85</v>
      </c>
      <c r="D427">
        <f>VLOOKUP(A427,收盤價!A:C,3,0)</f>
        <v>16.899999999999999</v>
      </c>
      <c r="E427" s="163">
        <v>0.31517509727626453</v>
      </c>
      <c r="F427">
        <v>73.06</v>
      </c>
    </row>
    <row r="428" spans="1:6">
      <c r="A428">
        <v>3684</v>
      </c>
      <c r="B428" t="s">
        <v>1555</v>
      </c>
      <c r="C428">
        <v>48.3</v>
      </c>
      <c r="D428">
        <f>VLOOKUP(A428,收盤價!A:C,3,0)</f>
        <v>63.5</v>
      </c>
      <c r="E428" s="163">
        <v>0.31469979296066258</v>
      </c>
      <c r="F428">
        <v>73</v>
      </c>
    </row>
    <row r="429" spans="1:6">
      <c r="A429">
        <v>8996</v>
      </c>
      <c r="B429" t="s">
        <v>1372</v>
      </c>
      <c r="C429">
        <v>31.05</v>
      </c>
      <c r="D429">
        <f>VLOOKUP(A429,收盤價!A:C,3,0)</f>
        <v>40.799999999999997</v>
      </c>
      <c r="E429" s="163">
        <v>0.31400966183574869</v>
      </c>
      <c r="F429">
        <v>72.930000000000007</v>
      </c>
    </row>
    <row r="430" spans="1:6">
      <c r="A430">
        <v>3504</v>
      </c>
      <c r="B430" t="s">
        <v>1133</v>
      </c>
      <c r="C430">
        <v>27.1</v>
      </c>
      <c r="D430">
        <f>VLOOKUP(A430,收盤價!A:C,3,0)</f>
        <v>35.6</v>
      </c>
      <c r="E430" s="163">
        <v>0.31365313653136528</v>
      </c>
      <c r="F430">
        <v>72.87</v>
      </c>
    </row>
    <row r="431" spans="1:6">
      <c r="A431">
        <v>6213</v>
      </c>
      <c r="B431" t="s">
        <v>1294</v>
      </c>
      <c r="C431">
        <v>16.75</v>
      </c>
      <c r="D431">
        <f>VLOOKUP(A431,收盤價!A:C,3,0)</f>
        <v>22</v>
      </c>
      <c r="E431" s="163">
        <v>0.31343283582089554</v>
      </c>
      <c r="F431">
        <v>72.81</v>
      </c>
    </row>
    <row r="432" spans="1:6">
      <c r="A432">
        <v>4138</v>
      </c>
      <c r="B432" t="s">
        <v>1572</v>
      </c>
      <c r="C432">
        <v>47.9</v>
      </c>
      <c r="D432">
        <f>VLOOKUP(A432,收盤價!A:C,3,0)</f>
        <v>62.9</v>
      </c>
      <c r="E432" s="163">
        <v>0.31315240083507306</v>
      </c>
      <c r="F432">
        <v>72.739999999999995</v>
      </c>
    </row>
    <row r="433" spans="1:6">
      <c r="A433">
        <v>6172</v>
      </c>
      <c r="B433" t="s">
        <v>1279</v>
      </c>
      <c r="C433">
        <v>5.34</v>
      </c>
      <c r="D433">
        <f>VLOOKUP(A433,收盤價!A:C,3,0)</f>
        <v>7.01</v>
      </c>
      <c r="E433" s="163">
        <v>0.31273408239700373</v>
      </c>
      <c r="F433">
        <v>72.680000000000007</v>
      </c>
    </row>
    <row r="434" spans="1:6">
      <c r="A434">
        <v>1731</v>
      </c>
      <c r="B434" t="s">
        <v>720</v>
      </c>
      <c r="C434">
        <v>10.4</v>
      </c>
      <c r="D434">
        <f>VLOOKUP(A434,收盤價!A:C,3,0)</f>
        <v>13.65</v>
      </c>
      <c r="E434" s="163">
        <v>0.3125</v>
      </c>
      <c r="F434">
        <v>72.62</v>
      </c>
    </row>
    <row r="435" spans="1:6">
      <c r="A435">
        <v>6605</v>
      </c>
      <c r="B435" t="s">
        <v>1332</v>
      </c>
      <c r="C435">
        <v>88.4</v>
      </c>
      <c r="D435">
        <f>VLOOKUP(A435,收盤價!A:C,3,0)</f>
        <v>116</v>
      </c>
      <c r="E435" s="163">
        <v>0.31221719457013564</v>
      </c>
      <c r="F435">
        <v>72.56</v>
      </c>
    </row>
    <row r="436" spans="1:6">
      <c r="A436">
        <v>9934</v>
      </c>
      <c r="B436" t="s">
        <v>1420</v>
      </c>
      <c r="C436">
        <v>10.9</v>
      </c>
      <c r="D436">
        <f>VLOOKUP(A436,收盤價!A:C,3,0)</f>
        <v>14.3</v>
      </c>
      <c r="E436" s="163">
        <v>0.31192660550458717</v>
      </c>
      <c r="F436">
        <v>72.489999999999995</v>
      </c>
    </row>
    <row r="437" spans="1:6">
      <c r="A437">
        <v>8222</v>
      </c>
      <c r="B437" t="s">
        <v>1356</v>
      </c>
      <c r="C437">
        <v>15.95</v>
      </c>
      <c r="D437">
        <f>VLOOKUP(A437,收盤價!A:C,3,0)</f>
        <v>20.9</v>
      </c>
      <c r="E437" s="163">
        <v>0.31034482758620685</v>
      </c>
      <c r="F437">
        <v>72.430000000000007</v>
      </c>
    </row>
    <row r="438" spans="1:6">
      <c r="A438">
        <v>5015</v>
      </c>
      <c r="B438" t="s">
        <v>403</v>
      </c>
      <c r="C438">
        <v>12.9</v>
      </c>
      <c r="D438">
        <f>VLOOKUP(A438,收盤價!A:C,3,0)</f>
        <v>16.899999999999999</v>
      </c>
      <c r="E438" s="163">
        <v>0.31007751937984479</v>
      </c>
      <c r="F438">
        <v>72.37</v>
      </c>
    </row>
    <row r="439" spans="1:6">
      <c r="A439">
        <v>6187</v>
      </c>
      <c r="B439" t="s">
        <v>1737</v>
      </c>
      <c r="C439">
        <v>33.4</v>
      </c>
      <c r="D439">
        <f>VLOOKUP(A439,收盤價!A:C,3,0)</f>
        <v>43.7</v>
      </c>
      <c r="E439" s="163">
        <v>0.30838323353293429</v>
      </c>
      <c r="F439">
        <v>72.3</v>
      </c>
    </row>
    <row r="440" spans="1:6">
      <c r="A440">
        <v>5272</v>
      </c>
      <c r="B440" t="s">
        <v>412</v>
      </c>
      <c r="C440">
        <v>29.35</v>
      </c>
      <c r="D440">
        <f>VLOOKUP(A440,收盤價!A:C,3,0)</f>
        <v>38.4</v>
      </c>
      <c r="E440" s="163">
        <v>0.30834752981260638</v>
      </c>
      <c r="F440">
        <v>72.239999999999995</v>
      </c>
    </row>
    <row r="441" spans="1:6">
      <c r="A441">
        <v>5302</v>
      </c>
      <c r="B441" t="s">
        <v>417</v>
      </c>
      <c r="C441">
        <v>4.25</v>
      </c>
      <c r="D441">
        <f>VLOOKUP(A441,收盤價!A:C,3,0)</f>
        <v>5.56</v>
      </c>
      <c r="E441" s="163">
        <v>0.30823529411764694</v>
      </c>
      <c r="F441">
        <v>72.180000000000007</v>
      </c>
    </row>
    <row r="442" spans="1:6">
      <c r="A442">
        <v>8182</v>
      </c>
      <c r="B442" t="s">
        <v>1810</v>
      </c>
      <c r="C442">
        <v>9.9</v>
      </c>
      <c r="D442">
        <f>VLOOKUP(A442,收盤價!A:C,3,0)</f>
        <v>12.95</v>
      </c>
      <c r="E442" s="163">
        <v>0.30808080808080796</v>
      </c>
      <c r="F442">
        <v>72.11</v>
      </c>
    </row>
    <row r="443" spans="1:6">
      <c r="A443">
        <v>8287</v>
      </c>
      <c r="B443" t="s">
        <v>1816</v>
      </c>
      <c r="C443">
        <v>14.65</v>
      </c>
      <c r="D443">
        <f>VLOOKUP(A443,收盤價!A:C,3,0)</f>
        <v>19.149999999999999</v>
      </c>
      <c r="E443" s="163">
        <v>0.3071672354948804</v>
      </c>
      <c r="F443">
        <v>72.05</v>
      </c>
    </row>
    <row r="444" spans="1:6">
      <c r="A444">
        <v>6015</v>
      </c>
      <c r="B444" t="s">
        <v>1701</v>
      </c>
      <c r="C444">
        <v>4.83</v>
      </c>
      <c r="D444">
        <f>VLOOKUP(A444,收盤價!A:C,3,0)</f>
        <v>6.31</v>
      </c>
      <c r="E444" s="163">
        <v>0.30641821946169762</v>
      </c>
      <c r="F444">
        <v>71.989999999999995</v>
      </c>
    </row>
    <row r="445" spans="1:6">
      <c r="A445">
        <v>6005</v>
      </c>
      <c r="B445" t="s">
        <v>1257</v>
      </c>
      <c r="C445">
        <v>7.66</v>
      </c>
      <c r="D445">
        <f>VLOOKUP(A445,收盤價!A:C,3,0)</f>
        <v>10</v>
      </c>
      <c r="E445" s="163">
        <v>0.3054830287206266</v>
      </c>
      <c r="F445">
        <v>71.92</v>
      </c>
    </row>
    <row r="446" spans="1:6">
      <c r="A446">
        <v>2008</v>
      </c>
      <c r="B446" t="s">
        <v>749</v>
      </c>
      <c r="C446">
        <v>6.78</v>
      </c>
      <c r="D446">
        <f>VLOOKUP(A446,收盤價!A:C,3,0)</f>
        <v>8.85</v>
      </c>
      <c r="E446" s="163">
        <v>0.30530973451327426</v>
      </c>
      <c r="F446">
        <v>71.86</v>
      </c>
    </row>
    <row r="447" spans="1:6">
      <c r="A447">
        <v>3118</v>
      </c>
      <c r="B447" t="s">
        <v>1475</v>
      </c>
      <c r="C447">
        <v>30</v>
      </c>
      <c r="D447">
        <f>VLOOKUP(A447,收盤價!A:C,3,0)</f>
        <v>39.15</v>
      </c>
      <c r="E447" s="163">
        <v>0.30499999999999994</v>
      </c>
      <c r="F447">
        <v>71.8</v>
      </c>
    </row>
    <row r="448" spans="1:6">
      <c r="A448">
        <v>1813</v>
      </c>
      <c r="B448" t="s">
        <v>272</v>
      </c>
      <c r="C448">
        <v>20.7</v>
      </c>
      <c r="D448">
        <f>VLOOKUP(A448,收盤價!A:C,3,0)</f>
        <v>27</v>
      </c>
      <c r="E448" s="163">
        <v>0.30434782608695654</v>
      </c>
      <c r="F448">
        <v>71.739999999999995</v>
      </c>
    </row>
    <row r="449" spans="1:6">
      <c r="A449">
        <v>4106</v>
      </c>
      <c r="B449" t="s">
        <v>1179</v>
      </c>
      <c r="C449">
        <v>28.3</v>
      </c>
      <c r="D449">
        <f>VLOOKUP(A449,收盤價!A:C,3,0)</f>
        <v>36.9</v>
      </c>
      <c r="E449" s="163">
        <v>0.30388692579505294</v>
      </c>
      <c r="F449">
        <v>71.67</v>
      </c>
    </row>
    <row r="450" spans="1:6">
      <c r="A450">
        <v>1603</v>
      </c>
      <c r="B450" t="s">
        <v>682</v>
      </c>
      <c r="C450">
        <v>9.4</v>
      </c>
      <c r="D450">
        <f>VLOOKUP(A450,收盤價!A:C,3,0)</f>
        <v>12.25</v>
      </c>
      <c r="E450" s="163">
        <v>0.30319148936170209</v>
      </c>
      <c r="F450">
        <v>71.61</v>
      </c>
    </row>
    <row r="451" spans="1:6">
      <c r="A451">
        <v>2338</v>
      </c>
      <c r="B451" t="s">
        <v>816</v>
      </c>
      <c r="C451">
        <v>6.3</v>
      </c>
      <c r="D451">
        <f>VLOOKUP(A451,收盤價!A:C,3,0)</f>
        <v>8.2100000000000009</v>
      </c>
      <c r="E451" s="163">
        <v>0.30317460317460337</v>
      </c>
      <c r="F451">
        <v>71.55</v>
      </c>
    </row>
    <row r="452" spans="1:6">
      <c r="A452">
        <v>2360</v>
      </c>
      <c r="B452" t="s">
        <v>833</v>
      </c>
      <c r="C452">
        <v>49.65</v>
      </c>
      <c r="D452">
        <f>VLOOKUP(A452,收盤價!A:C,3,0)</f>
        <v>64.7</v>
      </c>
      <c r="E452" s="163">
        <v>0.30312185297079569</v>
      </c>
      <c r="F452">
        <v>71.48</v>
      </c>
    </row>
    <row r="453" spans="1:6">
      <c r="A453">
        <v>5007</v>
      </c>
      <c r="B453" t="s">
        <v>1224</v>
      </c>
      <c r="C453">
        <v>46.6</v>
      </c>
      <c r="D453">
        <f>VLOOKUP(A453,收盤價!A:C,3,0)</f>
        <v>60.7</v>
      </c>
      <c r="E453" s="163">
        <v>0.30257510729613735</v>
      </c>
      <c r="F453">
        <v>71.42</v>
      </c>
    </row>
    <row r="454" spans="1:6">
      <c r="A454">
        <v>3051</v>
      </c>
      <c r="B454" t="s">
        <v>1087</v>
      </c>
      <c r="C454">
        <v>4.8</v>
      </c>
      <c r="D454">
        <f>VLOOKUP(A454,收盤價!A:C,3,0)</f>
        <v>6.25</v>
      </c>
      <c r="E454" s="163">
        <v>0.30208333333333337</v>
      </c>
      <c r="F454">
        <v>71.36</v>
      </c>
    </row>
    <row r="455" spans="1:6">
      <c r="A455">
        <v>5317</v>
      </c>
      <c r="B455" t="s">
        <v>420</v>
      </c>
      <c r="C455">
        <v>12.6</v>
      </c>
      <c r="D455">
        <f>VLOOKUP(A455,收盤價!A:C,3,0)</f>
        <v>16.399999999999999</v>
      </c>
      <c r="E455" s="163">
        <v>0.30158730158730152</v>
      </c>
      <c r="F455">
        <v>71.290000000000006</v>
      </c>
    </row>
    <row r="456" spans="1:6">
      <c r="A456">
        <v>2351</v>
      </c>
      <c r="B456" t="s">
        <v>824</v>
      </c>
      <c r="C456">
        <v>21.4</v>
      </c>
      <c r="D456">
        <f>VLOOKUP(A456,收盤價!A:C,3,0)</f>
        <v>27.85</v>
      </c>
      <c r="E456" s="163">
        <v>0.30140186915887868</v>
      </c>
      <c r="F456">
        <v>71.23</v>
      </c>
    </row>
    <row r="457" spans="1:6">
      <c r="A457">
        <v>3068</v>
      </c>
      <c r="B457" t="s">
        <v>284</v>
      </c>
      <c r="C457">
        <v>25.95</v>
      </c>
      <c r="D457">
        <f>VLOOKUP(A457,收盤價!A:C,3,0)</f>
        <v>33.75</v>
      </c>
      <c r="E457" s="163">
        <v>0.30057803468208094</v>
      </c>
      <c r="F457">
        <v>71.17</v>
      </c>
    </row>
    <row r="458" spans="1:6">
      <c r="A458">
        <v>4979</v>
      </c>
      <c r="B458" t="s">
        <v>400</v>
      </c>
      <c r="C458">
        <v>57.9</v>
      </c>
      <c r="D458">
        <f>VLOOKUP(A458,收盤價!A:C,3,0)</f>
        <v>75.3</v>
      </c>
      <c r="E458" s="163">
        <v>0.30051813471502586</v>
      </c>
      <c r="F458">
        <v>71.099999999999994</v>
      </c>
    </row>
    <row r="459" spans="1:6">
      <c r="A459">
        <v>4171</v>
      </c>
      <c r="B459" t="s">
        <v>1579</v>
      </c>
      <c r="C459">
        <v>24.6</v>
      </c>
      <c r="D459">
        <f>VLOOKUP(A459,收盤價!A:C,3,0)</f>
        <v>31.95</v>
      </c>
      <c r="E459" s="163">
        <v>0.29878048780487793</v>
      </c>
      <c r="F459">
        <v>71.040000000000006</v>
      </c>
    </row>
    <row r="460" spans="1:6">
      <c r="A460">
        <v>3217</v>
      </c>
      <c r="B460" t="s">
        <v>1488</v>
      </c>
      <c r="C460">
        <v>10.25</v>
      </c>
      <c r="D460">
        <f>VLOOKUP(A460,收盤價!A:C,3,0)</f>
        <v>13.3</v>
      </c>
      <c r="E460" s="163">
        <v>0.29756097560975614</v>
      </c>
      <c r="F460">
        <v>70.98</v>
      </c>
    </row>
    <row r="461" spans="1:6">
      <c r="A461">
        <v>5701</v>
      </c>
      <c r="B461" t="s">
        <v>1695</v>
      </c>
      <c r="C461">
        <v>2.69</v>
      </c>
      <c r="D461">
        <f>VLOOKUP(A461,收盤價!A:C,3,0)</f>
        <v>3.49</v>
      </c>
      <c r="E461" s="163">
        <v>0.29739776951672875</v>
      </c>
      <c r="F461">
        <v>70.91</v>
      </c>
    </row>
    <row r="462" spans="1:6">
      <c r="A462">
        <v>5491</v>
      </c>
      <c r="B462" t="s">
        <v>1683</v>
      </c>
      <c r="C462">
        <v>5.8</v>
      </c>
      <c r="D462">
        <f>VLOOKUP(A462,收盤價!A:C,3,0)</f>
        <v>7.52</v>
      </c>
      <c r="E462" s="163">
        <v>0.29655172413793102</v>
      </c>
      <c r="F462">
        <v>70.849999999999994</v>
      </c>
    </row>
    <row r="463" spans="1:6">
      <c r="A463">
        <v>6422</v>
      </c>
      <c r="B463" t="s">
        <v>1322</v>
      </c>
      <c r="C463">
        <v>38.799999999999997</v>
      </c>
      <c r="D463">
        <f>VLOOKUP(A463,收盤價!A:C,3,0)</f>
        <v>50.3</v>
      </c>
      <c r="E463" s="163">
        <v>0.29639175257731959</v>
      </c>
      <c r="F463">
        <v>70.790000000000006</v>
      </c>
    </row>
    <row r="464" spans="1:6">
      <c r="A464">
        <v>9958</v>
      </c>
      <c r="B464" t="s">
        <v>1433</v>
      </c>
      <c r="C464">
        <v>7.8</v>
      </c>
      <c r="D464">
        <f>VLOOKUP(A464,收盤價!A:C,3,0)</f>
        <v>10.1</v>
      </c>
      <c r="E464" s="163">
        <v>0.29487179487179488</v>
      </c>
      <c r="F464">
        <v>70.73</v>
      </c>
    </row>
    <row r="465" spans="1:6">
      <c r="A465">
        <v>5434</v>
      </c>
      <c r="B465" t="s">
        <v>1237</v>
      </c>
      <c r="C465">
        <v>41.85</v>
      </c>
      <c r="D465">
        <f>VLOOKUP(A465,收盤價!A:C,3,0)</f>
        <v>54.1</v>
      </c>
      <c r="E465" s="163">
        <v>0.2927120669056153</v>
      </c>
      <c r="F465">
        <v>70.66</v>
      </c>
    </row>
    <row r="466" spans="1:6">
      <c r="A466">
        <v>6279</v>
      </c>
      <c r="B466" t="s">
        <v>1761</v>
      </c>
      <c r="C466">
        <v>102.5</v>
      </c>
      <c r="D466">
        <f>VLOOKUP(A466,收盤價!A:C,3,0)</f>
        <v>132.5</v>
      </c>
      <c r="E466" s="163">
        <v>0.29268292682926828</v>
      </c>
      <c r="F466">
        <v>70.599999999999994</v>
      </c>
    </row>
    <row r="467" spans="1:6">
      <c r="A467">
        <v>6117</v>
      </c>
      <c r="B467" t="s">
        <v>1262</v>
      </c>
      <c r="C467">
        <v>11.45</v>
      </c>
      <c r="D467">
        <f>VLOOKUP(A467,收盤價!A:C,3,0)</f>
        <v>14.8</v>
      </c>
      <c r="E467" s="163">
        <v>0.29257641921397393</v>
      </c>
      <c r="F467">
        <v>70.540000000000006</v>
      </c>
    </row>
    <row r="468" spans="1:6">
      <c r="A468">
        <v>8403</v>
      </c>
      <c r="B468" t="s">
        <v>1825</v>
      </c>
      <c r="C468">
        <v>35.299999999999997</v>
      </c>
      <c r="D468">
        <f>VLOOKUP(A468,收盤價!A:C,3,0)</f>
        <v>45.6</v>
      </c>
      <c r="E468" s="163">
        <v>0.29178470254957523</v>
      </c>
      <c r="F468">
        <v>70.47</v>
      </c>
    </row>
    <row r="469" spans="1:6">
      <c r="A469">
        <v>8066</v>
      </c>
      <c r="B469" t="s">
        <v>1788</v>
      </c>
      <c r="C469">
        <v>75.5</v>
      </c>
      <c r="D469">
        <f>VLOOKUP(A469,收盤價!A:C,3,0)</f>
        <v>97.5</v>
      </c>
      <c r="E469" s="163">
        <v>0.29139072847682118</v>
      </c>
      <c r="F469">
        <v>70.41</v>
      </c>
    </row>
    <row r="470" spans="1:6">
      <c r="A470">
        <v>2849</v>
      </c>
      <c r="B470" t="s">
        <v>1009</v>
      </c>
      <c r="C470">
        <v>14.8</v>
      </c>
      <c r="D470">
        <f>VLOOKUP(A470,收盤價!A:C,3,0)</f>
        <v>19.100000000000001</v>
      </c>
      <c r="E470" s="163">
        <v>0.29054054054054057</v>
      </c>
      <c r="F470">
        <v>70.349999999999994</v>
      </c>
    </row>
    <row r="471" spans="1:6">
      <c r="A471">
        <v>2905</v>
      </c>
      <c r="B471" t="s">
        <v>1034</v>
      </c>
      <c r="C471">
        <v>16.399999999999999</v>
      </c>
      <c r="D471">
        <f>VLOOKUP(A471,收盤價!A:C,3,0)</f>
        <v>21.15</v>
      </c>
      <c r="E471" s="163">
        <v>0.28963414634146345</v>
      </c>
      <c r="F471">
        <v>70.28</v>
      </c>
    </row>
    <row r="472" spans="1:6">
      <c r="A472">
        <v>8427</v>
      </c>
      <c r="B472" t="s">
        <v>1365</v>
      </c>
      <c r="C472">
        <v>40.799999999999997</v>
      </c>
      <c r="D472">
        <f>VLOOKUP(A472,收盤價!A:C,3,0)</f>
        <v>52.6</v>
      </c>
      <c r="E472" s="163">
        <v>0.28921568627450994</v>
      </c>
      <c r="F472">
        <v>70.22</v>
      </c>
    </row>
    <row r="473" spans="1:6">
      <c r="A473">
        <v>3707</v>
      </c>
      <c r="B473" t="s">
        <v>362</v>
      </c>
      <c r="C473">
        <v>6.93</v>
      </c>
      <c r="D473">
        <f>VLOOKUP(A473,收盤價!A:C,3,0)</f>
        <v>8.93</v>
      </c>
      <c r="E473" s="163">
        <v>0.28860028860028863</v>
      </c>
      <c r="F473">
        <v>70.16</v>
      </c>
    </row>
    <row r="474" spans="1:6">
      <c r="A474">
        <v>6702</v>
      </c>
      <c r="B474" t="s">
        <v>1333</v>
      </c>
      <c r="C474">
        <v>6.29</v>
      </c>
      <c r="D474">
        <f>VLOOKUP(A474,收盤價!A:C,3,0)</f>
        <v>8.1</v>
      </c>
      <c r="E474" s="163">
        <v>0.28775834658187593</v>
      </c>
      <c r="F474">
        <v>70.09</v>
      </c>
    </row>
    <row r="475" spans="1:6">
      <c r="A475">
        <v>1905</v>
      </c>
      <c r="B475" t="s">
        <v>1852</v>
      </c>
      <c r="C475">
        <v>7.62</v>
      </c>
      <c r="D475">
        <f>VLOOKUP(A475,收盤價!A:C,3,0)</f>
        <v>9.81</v>
      </c>
      <c r="E475" s="163">
        <v>0.28740157480314965</v>
      </c>
      <c r="F475">
        <v>70.03</v>
      </c>
    </row>
    <row r="476" spans="1:6">
      <c r="A476">
        <v>2228</v>
      </c>
      <c r="B476" t="s">
        <v>791</v>
      </c>
      <c r="C476">
        <v>122</v>
      </c>
      <c r="D476">
        <f>VLOOKUP(A476,收盤價!A:C,3,0)</f>
        <v>157</v>
      </c>
      <c r="E476" s="163">
        <v>0.28688524590163933</v>
      </c>
      <c r="F476">
        <v>69.97</v>
      </c>
    </row>
    <row r="477" spans="1:6">
      <c r="A477">
        <v>2355</v>
      </c>
      <c r="B477" t="s">
        <v>828</v>
      </c>
      <c r="C477">
        <v>40.6</v>
      </c>
      <c r="D477">
        <f>VLOOKUP(A477,收盤價!A:C,3,0)</f>
        <v>52.2</v>
      </c>
      <c r="E477" s="163">
        <v>0.28571428571428575</v>
      </c>
      <c r="F477">
        <v>69.91</v>
      </c>
    </row>
    <row r="478" spans="1:6">
      <c r="A478">
        <v>2705</v>
      </c>
      <c r="B478" t="s">
        <v>988</v>
      </c>
      <c r="C478">
        <v>8.8000000000000007</v>
      </c>
      <c r="D478">
        <f>VLOOKUP(A478,收盤價!A:C,3,0)</f>
        <v>11.3</v>
      </c>
      <c r="E478" s="163">
        <v>0.28409090909090906</v>
      </c>
      <c r="F478">
        <v>69.84</v>
      </c>
    </row>
    <row r="479" spans="1:6">
      <c r="A479">
        <v>3317</v>
      </c>
      <c r="B479" t="s">
        <v>1504</v>
      </c>
      <c r="C479">
        <v>9</v>
      </c>
      <c r="D479">
        <f>VLOOKUP(A479,收盤價!A:C,3,0)</f>
        <v>11.55</v>
      </c>
      <c r="E479" s="163">
        <v>0.28333333333333344</v>
      </c>
      <c r="F479">
        <v>69.78</v>
      </c>
    </row>
    <row r="480" spans="1:6">
      <c r="A480">
        <v>8081</v>
      </c>
      <c r="B480" t="s">
        <v>1342</v>
      </c>
      <c r="C480">
        <v>47.85</v>
      </c>
      <c r="D480">
        <f>VLOOKUP(A480,收盤價!A:C,3,0)</f>
        <v>61.4</v>
      </c>
      <c r="E480" s="163">
        <v>0.28317659352142105</v>
      </c>
      <c r="F480">
        <v>69.72</v>
      </c>
    </row>
    <row r="481" spans="1:6">
      <c r="A481">
        <v>1725</v>
      </c>
      <c r="B481" t="s">
        <v>715</v>
      </c>
      <c r="C481">
        <v>11</v>
      </c>
      <c r="D481">
        <f>VLOOKUP(A481,收盤價!A:C,3,0)</f>
        <v>14.1</v>
      </c>
      <c r="E481" s="163">
        <v>0.2818181818181818</v>
      </c>
      <c r="F481">
        <v>69.650000000000006</v>
      </c>
    </row>
    <row r="482" spans="1:6">
      <c r="A482">
        <v>1595</v>
      </c>
      <c r="B482" t="s">
        <v>1443</v>
      </c>
      <c r="C482">
        <v>47.2</v>
      </c>
      <c r="D482">
        <f>VLOOKUP(A482,收盤價!A:C,3,0)</f>
        <v>60.5</v>
      </c>
      <c r="E482" s="163">
        <v>0.28177966101694907</v>
      </c>
      <c r="F482">
        <v>69.59</v>
      </c>
    </row>
    <row r="483" spans="1:6">
      <c r="A483">
        <v>3311</v>
      </c>
      <c r="B483" t="s">
        <v>1112</v>
      </c>
      <c r="C483">
        <v>13.55</v>
      </c>
      <c r="D483">
        <f>VLOOKUP(A483,收盤價!A:C,3,0)</f>
        <v>17.350000000000001</v>
      </c>
      <c r="E483" s="163">
        <v>0.28044280442804431</v>
      </c>
      <c r="F483">
        <v>69.53</v>
      </c>
    </row>
    <row r="484" spans="1:6">
      <c r="A484">
        <v>4960</v>
      </c>
      <c r="B484" t="s">
        <v>1218</v>
      </c>
      <c r="C484">
        <v>16.25</v>
      </c>
      <c r="D484">
        <f>VLOOKUP(A484,收盤價!A:C,3,0)</f>
        <v>20.8</v>
      </c>
      <c r="E484" s="163">
        <v>0.28000000000000003</v>
      </c>
      <c r="F484">
        <v>69.459999999999994</v>
      </c>
    </row>
    <row r="485" spans="1:6">
      <c r="A485">
        <v>4747</v>
      </c>
      <c r="B485" t="s">
        <v>1618</v>
      </c>
      <c r="C485">
        <v>33.450000000000003</v>
      </c>
      <c r="D485">
        <f>VLOOKUP(A485,收盤價!A:C,3,0)</f>
        <v>42.8</v>
      </c>
      <c r="E485" s="163">
        <v>0.27952167414050805</v>
      </c>
      <c r="F485">
        <v>69.400000000000006</v>
      </c>
    </row>
    <row r="486" spans="1:6">
      <c r="A486">
        <v>1340</v>
      </c>
      <c r="B486" t="s">
        <v>593</v>
      </c>
      <c r="C486">
        <v>51.2</v>
      </c>
      <c r="D486">
        <f>VLOOKUP(A486,收盤價!A:C,3,0)</f>
        <v>65.5</v>
      </c>
      <c r="E486" s="163">
        <v>0.27929687499999994</v>
      </c>
      <c r="F486">
        <v>69.34</v>
      </c>
    </row>
    <row r="487" spans="1:6">
      <c r="A487">
        <v>3559</v>
      </c>
      <c r="B487" t="s">
        <v>1145</v>
      </c>
      <c r="C487">
        <v>15.95</v>
      </c>
      <c r="D487">
        <f>VLOOKUP(A487,收盤價!A:C,3,0)</f>
        <v>20.399999999999999</v>
      </c>
      <c r="E487" s="163">
        <v>0.27899686520376171</v>
      </c>
      <c r="F487">
        <v>69.27</v>
      </c>
    </row>
    <row r="488" spans="1:6">
      <c r="A488">
        <v>3128</v>
      </c>
      <c r="B488" t="s">
        <v>1477</v>
      </c>
      <c r="C488">
        <v>13.45</v>
      </c>
      <c r="D488">
        <f>VLOOKUP(A488,收盤價!A:C,3,0)</f>
        <v>17.2</v>
      </c>
      <c r="E488" s="163">
        <v>0.27881040892193309</v>
      </c>
      <c r="F488">
        <v>69.209999999999994</v>
      </c>
    </row>
    <row r="489" spans="1:6">
      <c r="A489">
        <v>5371</v>
      </c>
      <c r="B489" t="s">
        <v>426</v>
      </c>
      <c r="C489">
        <v>21.7</v>
      </c>
      <c r="D489">
        <f>VLOOKUP(A489,收盤價!A:C,3,0)</f>
        <v>27.75</v>
      </c>
      <c r="E489" s="163">
        <v>0.27880184331797242</v>
      </c>
      <c r="F489">
        <v>69.150000000000006</v>
      </c>
    </row>
    <row r="490" spans="1:6">
      <c r="A490">
        <v>4702</v>
      </c>
      <c r="B490" t="s">
        <v>385</v>
      </c>
      <c r="C490">
        <v>9</v>
      </c>
      <c r="D490">
        <f>VLOOKUP(A490,收盤價!A:C,3,0)</f>
        <v>11.5</v>
      </c>
      <c r="E490" s="163">
        <v>0.27777777777777779</v>
      </c>
      <c r="F490">
        <v>69.09</v>
      </c>
    </row>
    <row r="491" spans="1:6">
      <c r="A491">
        <v>1215</v>
      </c>
      <c r="B491" t="s">
        <v>554</v>
      </c>
      <c r="C491">
        <v>18</v>
      </c>
      <c r="D491">
        <f>VLOOKUP(A491,收盤價!A:C,3,0)</f>
        <v>23</v>
      </c>
      <c r="E491" s="163">
        <v>0.27777777777777779</v>
      </c>
      <c r="F491">
        <v>69.02</v>
      </c>
    </row>
    <row r="492" spans="1:6">
      <c r="A492">
        <v>1521</v>
      </c>
      <c r="B492" t="s">
        <v>655</v>
      </c>
      <c r="C492">
        <v>67.7</v>
      </c>
      <c r="D492">
        <f>VLOOKUP(A492,收盤價!A:C,3,0)</f>
        <v>86.5</v>
      </c>
      <c r="E492" s="163">
        <v>0.27769571639586405</v>
      </c>
      <c r="F492">
        <v>68.959999999999994</v>
      </c>
    </row>
    <row r="493" spans="1:6">
      <c r="A493">
        <v>2321</v>
      </c>
      <c r="B493" t="s">
        <v>805</v>
      </c>
      <c r="C493">
        <v>1.37</v>
      </c>
      <c r="D493">
        <f>VLOOKUP(A493,收盤價!A:C,3,0)</f>
        <v>1.75</v>
      </c>
      <c r="E493" s="163">
        <v>0.27737226277372251</v>
      </c>
      <c r="F493">
        <v>68.900000000000006</v>
      </c>
    </row>
    <row r="494" spans="1:6">
      <c r="A494">
        <v>8940</v>
      </c>
      <c r="B494" t="s">
        <v>1371</v>
      </c>
      <c r="C494">
        <v>13</v>
      </c>
      <c r="D494">
        <f>VLOOKUP(A494,收盤價!A:C,3,0)</f>
        <v>16.600000000000001</v>
      </c>
      <c r="E494" s="163">
        <v>0.27692307692307705</v>
      </c>
      <c r="F494">
        <v>68.83</v>
      </c>
    </row>
    <row r="495" spans="1:6">
      <c r="A495">
        <v>1736</v>
      </c>
      <c r="B495" t="s">
        <v>725</v>
      </c>
      <c r="C495">
        <v>40.5</v>
      </c>
      <c r="D495">
        <f>VLOOKUP(A495,收盤價!A:C,3,0)</f>
        <v>51.7</v>
      </c>
      <c r="E495" s="163">
        <v>0.27654320987654329</v>
      </c>
      <c r="F495">
        <v>68.77</v>
      </c>
    </row>
    <row r="496" spans="1:6">
      <c r="A496">
        <v>3583</v>
      </c>
      <c r="B496" t="s">
        <v>1150</v>
      </c>
      <c r="C496">
        <v>55.8</v>
      </c>
      <c r="D496">
        <f>VLOOKUP(A496,收盤價!A:C,3,0)</f>
        <v>71.2</v>
      </c>
      <c r="E496" s="163">
        <v>0.27598566308243738</v>
      </c>
      <c r="F496">
        <v>68.709999999999994</v>
      </c>
    </row>
    <row r="497" spans="1:6">
      <c r="A497">
        <v>2352</v>
      </c>
      <c r="B497" t="s">
        <v>825</v>
      </c>
      <c r="C497">
        <v>8.6999999999999993</v>
      </c>
      <c r="D497">
        <f>VLOOKUP(A497,收盤價!A:C,3,0)</f>
        <v>11.1</v>
      </c>
      <c r="E497" s="163">
        <v>0.27586206896551729</v>
      </c>
      <c r="F497">
        <v>68.64</v>
      </c>
    </row>
    <row r="498" spans="1:6">
      <c r="A498">
        <v>910861</v>
      </c>
      <c r="B498" t="s">
        <v>1380</v>
      </c>
      <c r="C498">
        <v>14.5</v>
      </c>
      <c r="D498">
        <f>VLOOKUP(A498,收盤價!A:C,3,0)</f>
        <v>18.5</v>
      </c>
      <c r="E498" s="163">
        <v>0.27586206896551724</v>
      </c>
      <c r="F498">
        <v>68.58</v>
      </c>
    </row>
    <row r="499" spans="1:6">
      <c r="A499">
        <v>5388</v>
      </c>
      <c r="B499" t="s">
        <v>1236</v>
      </c>
      <c r="C499">
        <v>66.8</v>
      </c>
      <c r="D499">
        <f>VLOOKUP(A499,收盤價!A:C,3,0)</f>
        <v>85.2</v>
      </c>
      <c r="E499" s="163">
        <v>0.2754491017964073</v>
      </c>
      <c r="F499">
        <v>68.52</v>
      </c>
    </row>
    <row r="500" spans="1:6">
      <c r="A500">
        <v>2597</v>
      </c>
      <c r="B500" t="s">
        <v>965</v>
      </c>
      <c r="C500">
        <v>31.6</v>
      </c>
      <c r="D500">
        <f>VLOOKUP(A500,收盤價!A:C,3,0)</f>
        <v>40.299999999999997</v>
      </c>
      <c r="E500" s="163">
        <v>0.27531645569620239</v>
      </c>
      <c r="F500">
        <v>68.45</v>
      </c>
    </row>
    <row r="501" spans="1:6">
      <c r="A501">
        <v>3383</v>
      </c>
      <c r="B501" t="s">
        <v>1119</v>
      </c>
      <c r="C501">
        <v>6.29</v>
      </c>
      <c r="D501">
        <f>VLOOKUP(A501,收盤價!A:C,3,0)</f>
        <v>8.02</v>
      </c>
      <c r="E501" s="163">
        <v>0.27503974562798084</v>
      </c>
      <c r="F501">
        <v>68.39</v>
      </c>
    </row>
    <row r="502" spans="1:6">
      <c r="A502">
        <v>1225</v>
      </c>
      <c r="B502" t="s">
        <v>560</v>
      </c>
      <c r="C502">
        <v>20.2</v>
      </c>
      <c r="D502">
        <f>VLOOKUP(A502,收盤價!A:C,3,0)</f>
        <v>25.75</v>
      </c>
      <c r="E502" s="163">
        <v>0.27475247524752477</v>
      </c>
      <c r="F502">
        <v>68.33</v>
      </c>
    </row>
    <row r="503" spans="1:6">
      <c r="A503">
        <v>4119</v>
      </c>
      <c r="B503" t="s">
        <v>1181</v>
      </c>
      <c r="C503">
        <v>69.900000000000006</v>
      </c>
      <c r="D503">
        <f>VLOOKUP(A503,收盤價!A:C,3,0)</f>
        <v>89.1</v>
      </c>
      <c r="E503" s="163">
        <v>0.27467811158798267</v>
      </c>
      <c r="F503">
        <v>68.260000000000005</v>
      </c>
    </row>
    <row r="504" spans="1:6">
      <c r="A504">
        <v>6124</v>
      </c>
      <c r="B504" t="s">
        <v>1717</v>
      </c>
      <c r="C504">
        <v>21.5</v>
      </c>
      <c r="D504">
        <f>VLOOKUP(A504,收盤價!A:C,3,0)</f>
        <v>27.4</v>
      </c>
      <c r="E504" s="163">
        <v>0.27441860465116275</v>
      </c>
      <c r="F504">
        <v>68.2</v>
      </c>
    </row>
    <row r="505" spans="1:6">
      <c r="A505">
        <v>8383</v>
      </c>
      <c r="B505" t="s">
        <v>512</v>
      </c>
      <c r="C505">
        <v>40.1</v>
      </c>
      <c r="D505">
        <f>VLOOKUP(A505,收盤價!A:C,3,0)</f>
        <v>51.1</v>
      </c>
      <c r="E505" s="163">
        <v>0.27431421446384041</v>
      </c>
      <c r="F505">
        <v>68.14</v>
      </c>
    </row>
    <row r="506" spans="1:6">
      <c r="A506">
        <v>4946</v>
      </c>
      <c r="B506" t="s">
        <v>1625</v>
      </c>
      <c r="C506">
        <v>29.2</v>
      </c>
      <c r="D506">
        <f>VLOOKUP(A506,收盤價!A:C,3,0)</f>
        <v>37.200000000000003</v>
      </c>
      <c r="E506" s="163">
        <v>0.27397260273972618</v>
      </c>
      <c r="F506">
        <v>68.08</v>
      </c>
    </row>
    <row r="507" spans="1:6">
      <c r="A507">
        <v>4999</v>
      </c>
      <c r="B507" t="s">
        <v>1223</v>
      </c>
      <c r="C507">
        <v>32.5</v>
      </c>
      <c r="D507">
        <f>VLOOKUP(A507,收盤價!A:C,3,0)</f>
        <v>41.4</v>
      </c>
      <c r="E507" s="163">
        <v>0.27384615384615379</v>
      </c>
      <c r="F507">
        <v>68.010000000000005</v>
      </c>
    </row>
    <row r="508" spans="1:6">
      <c r="A508">
        <v>3122</v>
      </c>
      <c r="B508" t="s">
        <v>1476</v>
      </c>
      <c r="C508">
        <v>12.6</v>
      </c>
      <c r="D508">
        <f>VLOOKUP(A508,收盤價!A:C,3,0)</f>
        <v>16.05</v>
      </c>
      <c r="E508" s="163">
        <v>0.27380952380952389</v>
      </c>
      <c r="F508">
        <v>67.95</v>
      </c>
    </row>
    <row r="509" spans="1:6">
      <c r="A509">
        <v>8131</v>
      </c>
      <c r="B509" t="s">
        <v>1349</v>
      </c>
      <c r="C509">
        <v>16.100000000000001</v>
      </c>
      <c r="D509">
        <f>VLOOKUP(A509,收盤價!A:C,3,0)</f>
        <v>20.5</v>
      </c>
      <c r="E509" s="163">
        <v>0.27329192546583841</v>
      </c>
      <c r="F509">
        <v>67.89</v>
      </c>
    </row>
    <row r="510" spans="1:6">
      <c r="A510">
        <v>2855</v>
      </c>
      <c r="B510" t="s">
        <v>1013</v>
      </c>
      <c r="C510">
        <v>10.45</v>
      </c>
      <c r="D510">
        <f>VLOOKUP(A510,收盤價!A:C,3,0)</f>
        <v>13.3</v>
      </c>
      <c r="E510" s="163">
        <v>0.27272727272727287</v>
      </c>
      <c r="F510">
        <v>67.819999999999993</v>
      </c>
    </row>
    <row r="511" spans="1:6">
      <c r="A511">
        <v>6205</v>
      </c>
      <c r="B511" t="s">
        <v>1291</v>
      </c>
      <c r="C511">
        <v>20.9</v>
      </c>
      <c r="D511">
        <f>VLOOKUP(A511,收盤價!A:C,3,0)</f>
        <v>26.6</v>
      </c>
      <c r="E511" s="163">
        <v>0.27272727272727287</v>
      </c>
      <c r="F511">
        <v>67.760000000000005</v>
      </c>
    </row>
    <row r="512" spans="1:6">
      <c r="A512">
        <v>2427</v>
      </c>
      <c r="B512" t="s">
        <v>880</v>
      </c>
      <c r="C512">
        <v>4.97</v>
      </c>
      <c r="D512">
        <f>VLOOKUP(A512,收盤價!A:C,3,0)</f>
        <v>6.32</v>
      </c>
      <c r="E512" s="163">
        <v>0.27162977867203231</v>
      </c>
      <c r="F512">
        <v>67.7</v>
      </c>
    </row>
    <row r="513" spans="1:6">
      <c r="A513">
        <v>6409</v>
      </c>
      <c r="B513" t="s">
        <v>1318</v>
      </c>
      <c r="C513">
        <v>383</v>
      </c>
      <c r="D513">
        <f>VLOOKUP(A513,收盤價!A:C,3,0)</f>
        <v>487</v>
      </c>
      <c r="E513" s="163">
        <v>0.27154046997389036</v>
      </c>
      <c r="F513">
        <v>67.63</v>
      </c>
    </row>
    <row r="514" spans="1:6">
      <c r="A514">
        <v>1701</v>
      </c>
      <c r="B514" t="s">
        <v>696</v>
      </c>
      <c r="C514">
        <v>15.1</v>
      </c>
      <c r="D514">
        <f>VLOOKUP(A514,收盤價!A:C,3,0)</f>
        <v>19.2</v>
      </c>
      <c r="E514" s="163">
        <v>0.27152317880794702</v>
      </c>
      <c r="F514">
        <v>67.569999999999993</v>
      </c>
    </row>
    <row r="515" spans="1:6">
      <c r="A515">
        <v>3114</v>
      </c>
      <c r="B515" t="s">
        <v>1473</v>
      </c>
      <c r="C515">
        <v>9.91</v>
      </c>
      <c r="D515">
        <f>VLOOKUP(A515,收盤價!A:C,3,0)</f>
        <v>12.6</v>
      </c>
      <c r="E515" s="163">
        <v>0.27144298688193741</v>
      </c>
      <c r="F515">
        <v>67.510000000000005</v>
      </c>
    </row>
    <row r="516" spans="1:6">
      <c r="A516">
        <v>4746</v>
      </c>
      <c r="B516" t="s">
        <v>1201</v>
      </c>
      <c r="C516">
        <v>52.7</v>
      </c>
      <c r="D516">
        <f>VLOOKUP(A516,收盤價!A:C,3,0)</f>
        <v>67</v>
      </c>
      <c r="E516" s="163">
        <v>0.27134724857685005</v>
      </c>
      <c r="F516">
        <v>67.44</v>
      </c>
    </row>
    <row r="517" spans="1:6">
      <c r="A517">
        <v>1443</v>
      </c>
      <c r="B517" t="s">
        <v>614</v>
      </c>
      <c r="C517">
        <v>4.28</v>
      </c>
      <c r="D517">
        <f>VLOOKUP(A517,收盤價!A:C,3,0)</f>
        <v>5.44</v>
      </c>
      <c r="E517" s="163">
        <v>0.2710280373831776</v>
      </c>
      <c r="F517">
        <v>67.38</v>
      </c>
    </row>
    <row r="518" spans="1:6">
      <c r="A518">
        <v>3308</v>
      </c>
      <c r="B518" t="s">
        <v>1111</v>
      </c>
      <c r="C518">
        <v>6.01</v>
      </c>
      <c r="D518">
        <f>VLOOKUP(A518,收盤價!A:C,3,0)</f>
        <v>7.63</v>
      </c>
      <c r="E518" s="163">
        <v>0.26955074875207991</v>
      </c>
      <c r="F518">
        <v>67.319999999999993</v>
      </c>
    </row>
    <row r="519" spans="1:6">
      <c r="A519">
        <v>8933</v>
      </c>
      <c r="B519" t="s">
        <v>1842</v>
      </c>
      <c r="C519">
        <v>11.7</v>
      </c>
      <c r="D519">
        <f>VLOOKUP(A519,收盤價!A:C,3,0)</f>
        <v>14.85</v>
      </c>
      <c r="E519" s="163">
        <v>0.26923076923076927</v>
      </c>
      <c r="F519">
        <v>67.260000000000005</v>
      </c>
    </row>
    <row r="520" spans="1:6">
      <c r="A520">
        <v>3218</v>
      </c>
      <c r="B520" t="s">
        <v>299</v>
      </c>
      <c r="C520">
        <v>19.350000000000001</v>
      </c>
      <c r="D520">
        <f>VLOOKUP(A520,收盤價!A:C,3,0)</f>
        <v>24.55</v>
      </c>
      <c r="E520" s="163">
        <v>0.26873385012919893</v>
      </c>
      <c r="F520">
        <v>67.19</v>
      </c>
    </row>
    <row r="521" spans="1:6">
      <c r="A521">
        <v>5243</v>
      </c>
      <c r="B521" t="s">
        <v>1229</v>
      </c>
      <c r="C521">
        <v>22.7</v>
      </c>
      <c r="D521">
        <f>VLOOKUP(A521,收盤價!A:C,3,0)</f>
        <v>28.8</v>
      </c>
      <c r="E521" s="163">
        <v>0.26872246696035251</v>
      </c>
      <c r="F521">
        <v>67.13</v>
      </c>
    </row>
    <row r="522" spans="1:6">
      <c r="A522">
        <v>3432</v>
      </c>
      <c r="B522" t="s">
        <v>1124</v>
      </c>
      <c r="C522">
        <v>10.8</v>
      </c>
      <c r="D522">
        <f>VLOOKUP(A522,收盤價!A:C,3,0)</f>
        <v>13.7</v>
      </c>
      <c r="E522" s="163">
        <v>0.26851851851851838</v>
      </c>
      <c r="F522">
        <v>67.069999999999993</v>
      </c>
    </row>
    <row r="523" spans="1:6">
      <c r="A523">
        <v>4903</v>
      </c>
      <c r="B523" t="s">
        <v>1619</v>
      </c>
      <c r="C523">
        <v>8.91</v>
      </c>
      <c r="D523">
        <f>VLOOKUP(A523,收盤價!A:C,3,0)</f>
        <v>11.3</v>
      </c>
      <c r="E523" s="163">
        <v>0.26823793490460163</v>
      </c>
      <c r="F523">
        <v>67</v>
      </c>
    </row>
    <row r="524" spans="1:6">
      <c r="A524">
        <v>3598</v>
      </c>
      <c r="B524" t="s">
        <v>1156</v>
      </c>
      <c r="C524">
        <v>38.6</v>
      </c>
      <c r="D524">
        <f>VLOOKUP(A524,收盤價!A:C,3,0)</f>
        <v>48.95</v>
      </c>
      <c r="E524" s="163">
        <v>0.26813471502590674</v>
      </c>
      <c r="F524">
        <v>66.94</v>
      </c>
    </row>
    <row r="525" spans="1:6">
      <c r="A525">
        <v>3090</v>
      </c>
      <c r="B525" t="s">
        <v>1097</v>
      </c>
      <c r="C525">
        <v>17.55</v>
      </c>
      <c r="D525">
        <f>VLOOKUP(A525,收盤價!A:C,3,0)</f>
        <v>22.25</v>
      </c>
      <c r="E525" s="163">
        <v>0.26780626780626776</v>
      </c>
      <c r="F525">
        <v>66.88</v>
      </c>
    </row>
    <row r="526" spans="1:6">
      <c r="A526">
        <v>2434</v>
      </c>
      <c r="B526" t="s">
        <v>886</v>
      </c>
      <c r="C526">
        <v>4.5599999999999996</v>
      </c>
      <c r="D526">
        <f>VLOOKUP(A526,收盤價!A:C,3,0)</f>
        <v>5.78</v>
      </c>
      <c r="E526" s="163">
        <v>0.26754385964912297</v>
      </c>
      <c r="F526">
        <v>66.81</v>
      </c>
    </row>
    <row r="527" spans="1:6">
      <c r="A527">
        <v>4956</v>
      </c>
      <c r="B527" t="s">
        <v>1216</v>
      </c>
      <c r="C527">
        <v>10.5</v>
      </c>
      <c r="D527">
        <f>VLOOKUP(A527,收盤價!A:C,3,0)</f>
        <v>13.3</v>
      </c>
      <c r="E527" s="163">
        <v>0.26666666666666672</v>
      </c>
      <c r="F527">
        <v>66.75</v>
      </c>
    </row>
    <row r="528" spans="1:6">
      <c r="A528">
        <v>4541</v>
      </c>
      <c r="B528" t="s">
        <v>1608</v>
      </c>
      <c r="C528">
        <v>26.3</v>
      </c>
      <c r="D528">
        <f>VLOOKUP(A528,收盤價!A:C,3,0)</f>
        <v>33.299999999999997</v>
      </c>
      <c r="E528" s="163">
        <v>0.26615969581749033</v>
      </c>
      <c r="F528">
        <v>66.69</v>
      </c>
    </row>
    <row r="529" spans="1:6">
      <c r="A529">
        <v>6228</v>
      </c>
      <c r="B529" t="s">
        <v>1750</v>
      </c>
      <c r="C529">
        <v>8.3000000000000007</v>
      </c>
      <c r="D529">
        <f>VLOOKUP(A529,收盤價!A:C,3,0)</f>
        <v>10.5</v>
      </c>
      <c r="E529" s="163">
        <v>0.26506024096385533</v>
      </c>
      <c r="F529">
        <v>66.62</v>
      </c>
    </row>
    <row r="530" spans="1:6">
      <c r="A530">
        <v>3287</v>
      </c>
      <c r="B530" t="s">
        <v>1497</v>
      </c>
      <c r="C530">
        <v>6.54</v>
      </c>
      <c r="D530">
        <f>VLOOKUP(A530,收盤價!A:C,3,0)</f>
        <v>8.27</v>
      </c>
      <c r="E530" s="163">
        <v>0.264525993883792</v>
      </c>
      <c r="F530">
        <v>66.56</v>
      </c>
    </row>
    <row r="531" spans="1:6">
      <c r="A531">
        <v>3498</v>
      </c>
      <c r="B531" t="s">
        <v>1523</v>
      </c>
      <c r="C531">
        <v>47.8</v>
      </c>
      <c r="D531">
        <f>VLOOKUP(A531,收盤價!A:C,3,0)</f>
        <v>60.4</v>
      </c>
      <c r="E531" s="163">
        <v>0.26359832635983266</v>
      </c>
      <c r="F531">
        <v>66.5</v>
      </c>
    </row>
    <row r="532" spans="1:6">
      <c r="A532">
        <v>5211</v>
      </c>
      <c r="B532" t="s">
        <v>407</v>
      </c>
      <c r="C532">
        <v>17.649999999999999</v>
      </c>
      <c r="D532">
        <f>VLOOKUP(A532,收盤價!A:C,3,0)</f>
        <v>22.3</v>
      </c>
      <c r="E532" s="163">
        <v>0.26345609065155823</v>
      </c>
      <c r="F532">
        <v>66.44</v>
      </c>
    </row>
    <row r="533" spans="1:6">
      <c r="A533">
        <v>8420</v>
      </c>
      <c r="B533" t="s">
        <v>515</v>
      </c>
      <c r="C533">
        <v>16.350000000000001</v>
      </c>
      <c r="D533">
        <f>VLOOKUP(A533,收盤價!A:C,3,0)</f>
        <v>20.65</v>
      </c>
      <c r="E533" s="163">
        <v>0.26299694189602429</v>
      </c>
      <c r="F533">
        <v>66.37</v>
      </c>
    </row>
    <row r="534" spans="1:6">
      <c r="A534">
        <v>3662</v>
      </c>
      <c r="B534" t="s">
        <v>1550</v>
      </c>
      <c r="C534">
        <v>72</v>
      </c>
      <c r="D534">
        <f>VLOOKUP(A534,收盤價!A:C,3,0)</f>
        <v>90.9</v>
      </c>
      <c r="E534" s="163">
        <v>0.26250000000000007</v>
      </c>
      <c r="F534">
        <v>66.31</v>
      </c>
    </row>
    <row r="535" spans="1:6">
      <c r="A535">
        <v>8099</v>
      </c>
      <c r="B535" t="s">
        <v>1802</v>
      </c>
      <c r="C535">
        <v>14.5</v>
      </c>
      <c r="D535">
        <f>VLOOKUP(A535,收盤價!A:C,3,0)</f>
        <v>18.3</v>
      </c>
      <c r="E535" s="163">
        <v>0.2620689655172414</v>
      </c>
      <c r="F535">
        <v>66.25</v>
      </c>
    </row>
    <row r="536" spans="1:6">
      <c r="A536">
        <v>2903</v>
      </c>
      <c r="B536" t="s">
        <v>1032</v>
      </c>
      <c r="C536">
        <v>14.5</v>
      </c>
      <c r="D536">
        <f>VLOOKUP(A536,收盤價!A:C,3,0)</f>
        <v>18.3</v>
      </c>
      <c r="E536" s="163">
        <v>0.2620689655172414</v>
      </c>
      <c r="F536">
        <v>66.180000000000007</v>
      </c>
    </row>
    <row r="537" spans="1:6">
      <c r="A537">
        <v>1532</v>
      </c>
      <c r="B537" t="s">
        <v>665</v>
      </c>
      <c r="C537">
        <v>21</v>
      </c>
      <c r="D537">
        <f>VLOOKUP(A537,收盤價!A:C,3,0)</f>
        <v>26.5</v>
      </c>
      <c r="E537" s="163">
        <v>0.26190476190476192</v>
      </c>
      <c r="F537">
        <v>66.12</v>
      </c>
    </row>
    <row r="538" spans="1:6">
      <c r="A538">
        <v>2437</v>
      </c>
      <c r="B538" t="s">
        <v>888</v>
      </c>
      <c r="C538">
        <v>40.9</v>
      </c>
      <c r="D538">
        <f>VLOOKUP(A538,收盤價!A:C,3,0)</f>
        <v>51.6</v>
      </c>
      <c r="E538" s="163">
        <v>0.26161369193154044</v>
      </c>
      <c r="F538">
        <v>66.06</v>
      </c>
    </row>
    <row r="539" spans="1:6">
      <c r="A539">
        <v>5522</v>
      </c>
      <c r="B539" t="s">
        <v>1244</v>
      </c>
      <c r="C539">
        <v>27.55</v>
      </c>
      <c r="D539">
        <f>VLOOKUP(A539,收盤價!A:C,3,0)</f>
        <v>34.75</v>
      </c>
      <c r="E539" s="163">
        <v>0.2613430127041742</v>
      </c>
      <c r="F539">
        <v>65.989999999999995</v>
      </c>
    </row>
    <row r="540" spans="1:6">
      <c r="A540">
        <v>3027</v>
      </c>
      <c r="B540" t="s">
        <v>1064</v>
      </c>
      <c r="C540">
        <v>8.9600000000000009</v>
      </c>
      <c r="D540">
        <f>VLOOKUP(A540,收盤價!A:C,3,0)</f>
        <v>11.3</v>
      </c>
      <c r="E540" s="163">
        <v>0.26116071428571425</v>
      </c>
      <c r="F540">
        <v>65.930000000000007</v>
      </c>
    </row>
    <row r="541" spans="1:6">
      <c r="A541">
        <v>6405</v>
      </c>
      <c r="B541" t="s">
        <v>1317</v>
      </c>
      <c r="C541">
        <v>17.05</v>
      </c>
      <c r="D541">
        <f>VLOOKUP(A541,收盤價!A:C,3,0)</f>
        <v>21.5</v>
      </c>
      <c r="E541" s="163">
        <v>0.26099706744868029</v>
      </c>
      <c r="F541">
        <v>65.87</v>
      </c>
    </row>
    <row r="542" spans="1:6">
      <c r="A542">
        <v>5009</v>
      </c>
      <c r="B542" t="s">
        <v>401</v>
      </c>
      <c r="C542">
        <v>13.85</v>
      </c>
      <c r="D542">
        <f>VLOOKUP(A542,收盤價!A:C,3,0)</f>
        <v>17.45</v>
      </c>
      <c r="E542" s="163">
        <v>0.25992779783393499</v>
      </c>
      <c r="F542">
        <v>65.8</v>
      </c>
    </row>
    <row r="543" spans="1:6">
      <c r="A543">
        <v>3679</v>
      </c>
      <c r="B543" t="s">
        <v>1167</v>
      </c>
      <c r="C543">
        <v>33.450000000000003</v>
      </c>
      <c r="D543">
        <f>VLOOKUP(A543,收盤價!A:C,3,0)</f>
        <v>42.1</v>
      </c>
      <c r="E543" s="163">
        <v>0.25859491778774285</v>
      </c>
      <c r="F543">
        <v>65.739999999999995</v>
      </c>
    </row>
    <row r="544" spans="1:6">
      <c r="A544">
        <v>4144</v>
      </c>
      <c r="B544" t="s">
        <v>1186</v>
      </c>
      <c r="C544">
        <v>43.95</v>
      </c>
      <c r="D544">
        <f>VLOOKUP(A544,收盤價!A:C,3,0)</f>
        <v>55.3</v>
      </c>
      <c r="E544" s="163">
        <v>0.25824800910125129</v>
      </c>
      <c r="F544">
        <v>65.680000000000007</v>
      </c>
    </row>
    <row r="545" spans="1:6">
      <c r="A545">
        <v>8354</v>
      </c>
      <c r="B545" t="s">
        <v>1821</v>
      </c>
      <c r="C545">
        <v>11.85</v>
      </c>
      <c r="D545">
        <f>VLOOKUP(A545,收盤價!A:C,3,0)</f>
        <v>14.9</v>
      </c>
      <c r="E545" s="163">
        <v>0.25738396624472581</v>
      </c>
      <c r="F545">
        <v>65.62</v>
      </c>
    </row>
    <row r="546" spans="1:6">
      <c r="A546">
        <v>4527</v>
      </c>
      <c r="B546" t="s">
        <v>1601</v>
      </c>
      <c r="C546">
        <v>18.850000000000001</v>
      </c>
      <c r="D546">
        <f>VLOOKUP(A546,收盤價!A:C,3,0)</f>
        <v>23.7</v>
      </c>
      <c r="E546" s="163">
        <v>0.25729442970822269</v>
      </c>
      <c r="F546">
        <v>65.55</v>
      </c>
    </row>
    <row r="547" spans="1:6">
      <c r="A547">
        <v>3443</v>
      </c>
      <c r="B547" t="s">
        <v>1126</v>
      </c>
      <c r="C547">
        <v>53</v>
      </c>
      <c r="D547">
        <f>VLOOKUP(A547,收盤價!A:C,3,0)</f>
        <v>66.599999999999994</v>
      </c>
      <c r="E547" s="163">
        <v>0.25660377358490555</v>
      </c>
      <c r="F547">
        <v>65.489999999999995</v>
      </c>
    </row>
    <row r="548" spans="1:6">
      <c r="A548">
        <v>3484</v>
      </c>
      <c r="B548" t="s">
        <v>331</v>
      </c>
      <c r="C548">
        <v>24.75</v>
      </c>
      <c r="D548">
        <f>VLOOKUP(A548,收盤價!A:C,3,0)</f>
        <v>31.1</v>
      </c>
      <c r="E548" s="163">
        <v>0.25656565656565661</v>
      </c>
      <c r="F548">
        <v>65.430000000000007</v>
      </c>
    </row>
    <row r="549" spans="1:6">
      <c r="A549">
        <v>2353</v>
      </c>
      <c r="B549" t="s">
        <v>826</v>
      </c>
      <c r="C549">
        <v>9.7100000000000009</v>
      </c>
      <c r="D549">
        <f>VLOOKUP(A549,收盤價!A:C,3,0)</f>
        <v>12.2</v>
      </c>
      <c r="E549" s="163">
        <v>0.25643666323377945</v>
      </c>
      <c r="F549">
        <v>65.36</v>
      </c>
    </row>
    <row r="550" spans="1:6">
      <c r="A550">
        <v>1460</v>
      </c>
      <c r="B550" t="s">
        <v>628</v>
      </c>
      <c r="C550">
        <v>11.9</v>
      </c>
      <c r="D550">
        <f>VLOOKUP(A550,收盤價!A:C,3,0)</f>
        <v>14.95</v>
      </c>
      <c r="E550" s="163">
        <v>0.25630252100840328</v>
      </c>
      <c r="F550">
        <v>65.3</v>
      </c>
    </row>
    <row r="551" spans="1:6">
      <c r="A551">
        <v>6151</v>
      </c>
      <c r="B551" t="s">
        <v>1729</v>
      </c>
      <c r="C551">
        <v>18.149999999999999</v>
      </c>
      <c r="D551">
        <f>VLOOKUP(A551,收盤價!A:C,3,0)</f>
        <v>22.8</v>
      </c>
      <c r="E551" s="163">
        <v>0.25619834710743816</v>
      </c>
      <c r="F551">
        <v>65.239999999999995</v>
      </c>
    </row>
    <row r="552" spans="1:6">
      <c r="A552">
        <v>6022</v>
      </c>
      <c r="B552" t="s">
        <v>1703</v>
      </c>
      <c r="C552">
        <v>7.7</v>
      </c>
      <c r="D552">
        <f>VLOOKUP(A552,收盤價!A:C,3,0)</f>
        <v>9.67</v>
      </c>
      <c r="E552" s="163">
        <v>0.25584415584415582</v>
      </c>
      <c r="F552">
        <v>65.17</v>
      </c>
    </row>
    <row r="553" spans="1:6">
      <c r="A553">
        <v>4745</v>
      </c>
      <c r="B553" t="s">
        <v>1617</v>
      </c>
      <c r="C553">
        <v>44.6</v>
      </c>
      <c r="D553">
        <f>VLOOKUP(A553,收盤價!A:C,3,0)</f>
        <v>56</v>
      </c>
      <c r="E553" s="163">
        <v>0.25560538116591924</v>
      </c>
      <c r="F553">
        <v>65.11</v>
      </c>
    </row>
    <row r="554" spans="1:6">
      <c r="A554">
        <v>6207</v>
      </c>
      <c r="B554" t="s">
        <v>469</v>
      </c>
      <c r="C554">
        <v>20.95</v>
      </c>
      <c r="D554">
        <f>VLOOKUP(A554,收盤價!A:C,3,0)</f>
        <v>26.3</v>
      </c>
      <c r="E554" s="163">
        <v>0.25536992840095474</v>
      </c>
      <c r="F554">
        <v>65.05</v>
      </c>
    </row>
    <row r="555" spans="1:6">
      <c r="A555">
        <v>1416</v>
      </c>
      <c r="B555" t="s">
        <v>599</v>
      </c>
      <c r="C555">
        <v>14.5</v>
      </c>
      <c r="D555">
        <f>VLOOKUP(A555,收盤價!A:C,3,0)</f>
        <v>18.2</v>
      </c>
      <c r="E555" s="163">
        <v>0.2551724137931034</v>
      </c>
      <c r="F555">
        <v>64.98</v>
      </c>
    </row>
    <row r="556" spans="1:6">
      <c r="A556">
        <v>3703</v>
      </c>
      <c r="B556" t="s">
        <v>1174</v>
      </c>
      <c r="C556">
        <v>7.84</v>
      </c>
      <c r="D556">
        <f>VLOOKUP(A556,收盤價!A:C,3,0)</f>
        <v>9.84</v>
      </c>
      <c r="E556" s="163">
        <v>0.25510204081632654</v>
      </c>
      <c r="F556">
        <v>64.92</v>
      </c>
    </row>
    <row r="557" spans="1:6">
      <c r="A557">
        <v>1787</v>
      </c>
      <c r="B557" t="s">
        <v>270</v>
      </c>
      <c r="C557">
        <v>16.899999999999999</v>
      </c>
      <c r="D557">
        <f>VLOOKUP(A557,收盤價!A:C,3,0)</f>
        <v>21.2</v>
      </c>
      <c r="E557" s="163">
        <v>0.25443786982248529</v>
      </c>
      <c r="F557">
        <v>64.86</v>
      </c>
    </row>
    <row r="558" spans="1:6">
      <c r="A558">
        <v>2328</v>
      </c>
      <c r="B558" t="s">
        <v>810</v>
      </c>
      <c r="C558">
        <v>10.65</v>
      </c>
      <c r="D558">
        <f>VLOOKUP(A558,收盤價!A:C,3,0)</f>
        <v>13.35</v>
      </c>
      <c r="E558" s="163">
        <v>0.25352112676056332</v>
      </c>
      <c r="F558">
        <v>64.790000000000006</v>
      </c>
    </row>
    <row r="559" spans="1:6">
      <c r="A559">
        <v>2208</v>
      </c>
      <c r="B559" t="s">
        <v>789</v>
      </c>
      <c r="C559">
        <v>11.45</v>
      </c>
      <c r="D559">
        <f>VLOOKUP(A559,收盤價!A:C,3,0)</f>
        <v>14.35</v>
      </c>
      <c r="E559" s="163">
        <v>0.25327510917030571</v>
      </c>
      <c r="F559">
        <v>64.73</v>
      </c>
    </row>
    <row r="560" spans="1:6">
      <c r="A560">
        <v>1259</v>
      </c>
      <c r="B560" t="s">
        <v>260</v>
      </c>
      <c r="C560">
        <v>58.5</v>
      </c>
      <c r="D560">
        <f>VLOOKUP(A560,收盤價!A:C,3,0)</f>
        <v>73.3</v>
      </c>
      <c r="E560" s="163">
        <v>0.25299145299145293</v>
      </c>
      <c r="F560">
        <v>64.67</v>
      </c>
    </row>
    <row r="561" spans="1:6">
      <c r="A561">
        <v>4915</v>
      </c>
      <c r="B561" t="s">
        <v>1206</v>
      </c>
      <c r="C561">
        <v>34.5</v>
      </c>
      <c r="D561">
        <f>VLOOKUP(A561,收盤價!A:C,3,0)</f>
        <v>43.2</v>
      </c>
      <c r="E561" s="163">
        <v>0.25217391304347836</v>
      </c>
      <c r="F561">
        <v>64.61</v>
      </c>
    </row>
    <row r="562" spans="1:6">
      <c r="A562">
        <v>2331</v>
      </c>
      <c r="B562" t="s">
        <v>813</v>
      </c>
      <c r="C562">
        <v>16.2</v>
      </c>
      <c r="D562">
        <f>VLOOKUP(A562,收盤價!A:C,3,0)</f>
        <v>20.25</v>
      </c>
      <c r="E562" s="163">
        <v>0.25000000000000006</v>
      </c>
      <c r="F562">
        <v>64.540000000000006</v>
      </c>
    </row>
    <row r="563" spans="1:6">
      <c r="A563">
        <v>4966</v>
      </c>
      <c r="B563" t="s">
        <v>1628</v>
      </c>
      <c r="C563">
        <v>178</v>
      </c>
      <c r="D563">
        <f>VLOOKUP(A563,收盤價!A:C,3,0)</f>
        <v>222.5</v>
      </c>
      <c r="E563" s="163">
        <v>0.25</v>
      </c>
      <c r="F563">
        <v>64.48</v>
      </c>
    </row>
    <row r="564" spans="1:6">
      <c r="A564">
        <v>6239</v>
      </c>
      <c r="B564" t="s">
        <v>1303</v>
      </c>
      <c r="C564">
        <v>52.1</v>
      </c>
      <c r="D564">
        <f>VLOOKUP(A564,收盤價!A:C,3,0)</f>
        <v>65.099999999999994</v>
      </c>
      <c r="E564" s="163">
        <v>0.24952015355086357</v>
      </c>
      <c r="F564">
        <v>64.42</v>
      </c>
    </row>
    <row r="565" spans="1:6">
      <c r="A565">
        <v>8426</v>
      </c>
      <c r="B565" t="s">
        <v>1830</v>
      </c>
      <c r="C565">
        <v>20.85</v>
      </c>
      <c r="D565">
        <f>VLOOKUP(A565,收盤價!A:C,3,0)</f>
        <v>26.05</v>
      </c>
      <c r="E565" s="163">
        <v>0.2494004796163069</v>
      </c>
      <c r="F565">
        <v>64.349999999999994</v>
      </c>
    </row>
    <row r="566" spans="1:6">
      <c r="A566">
        <v>3213</v>
      </c>
      <c r="B566" t="s">
        <v>1487</v>
      </c>
      <c r="C566">
        <v>34.299999999999997</v>
      </c>
      <c r="D566">
        <f>VLOOKUP(A566,收盤價!A:C,3,0)</f>
        <v>42.85</v>
      </c>
      <c r="E566" s="163">
        <v>0.24927113702623921</v>
      </c>
      <c r="F566">
        <v>64.290000000000006</v>
      </c>
    </row>
    <row r="567" spans="1:6">
      <c r="A567">
        <v>4933</v>
      </c>
      <c r="B567" t="s">
        <v>395</v>
      </c>
      <c r="C567">
        <v>18.899999999999999</v>
      </c>
      <c r="D567">
        <f>VLOOKUP(A567,收盤價!A:C,3,0)</f>
        <v>23.6</v>
      </c>
      <c r="E567" s="163">
        <v>0.24867724867724886</v>
      </c>
      <c r="F567">
        <v>64.23</v>
      </c>
    </row>
    <row r="568" spans="1:6">
      <c r="A568">
        <v>2476</v>
      </c>
      <c r="B568" t="s">
        <v>918</v>
      </c>
      <c r="C568">
        <v>17.5</v>
      </c>
      <c r="D568">
        <f>VLOOKUP(A568,收盤價!A:C,3,0)</f>
        <v>21.85</v>
      </c>
      <c r="E568" s="163">
        <v>0.24857142857142867</v>
      </c>
      <c r="F568">
        <v>64.16</v>
      </c>
    </row>
    <row r="569" spans="1:6">
      <c r="A569">
        <v>6245</v>
      </c>
      <c r="B569" t="s">
        <v>1755</v>
      </c>
      <c r="C569">
        <v>32</v>
      </c>
      <c r="D569">
        <f>VLOOKUP(A569,收盤價!A:C,3,0)</f>
        <v>39.950000000000003</v>
      </c>
      <c r="E569" s="163">
        <v>0.24843750000000009</v>
      </c>
      <c r="F569">
        <v>64.099999999999994</v>
      </c>
    </row>
    <row r="570" spans="1:6">
      <c r="A570">
        <v>2330</v>
      </c>
      <c r="B570" t="s">
        <v>812</v>
      </c>
      <c r="C570">
        <v>115</v>
      </c>
      <c r="D570">
        <f>VLOOKUP(A570,收盤價!A:C,3,0)</f>
        <v>143.5</v>
      </c>
      <c r="E570" s="163">
        <v>0.24782608695652175</v>
      </c>
      <c r="F570">
        <v>64.040000000000006</v>
      </c>
    </row>
    <row r="571" spans="1:6">
      <c r="A571">
        <v>6115</v>
      </c>
      <c r="B571" t="s">
        <v>1260</v>
      </c>
      <c r="C571">
        <v>26.85</v>
      </c>
      <c r="D571">
        <f>VLOOKUP(A571,收盤價!A:C,3,0)</f>
        <v>33.5</v>
      </c>
      <c r="E571" s="163">
        <v>0.24767225325884537</v>
      </c>
      <c r="F571">
        <v>63.97</v>
      </c>
    </row>
    <row r="572" spans="1:6">
      <c r="A572">
        <v>2856</v>
      </c>
      <c r="B572" t="s">
        <v>1014</v>
      </c>
      <c r="C572">
        <v>7.52</v>
      </c>
      <c r="D572">
        <f>VLOOKUP(A572,收盤價!A:C,3,0)</f>
        <v>9.3800000000000008</v>
      </c>
      <c r="E572" s="163">
        <v>0.24734042553191507</v>
      </c>
      <c r="F572">
        <v>63.91</v>
      </c>
    </row>
    <row r="573" spans="1:6">
      <c r="A573">
        <v>1907</v>
      </c>
      <c r="B573" t="s">
        <v>743</v>
      </c>
      <c r="C573">
        <v>8.6199999999999992</v>
      </c>
      <c r="D573">
        <f>VLOOKUP(A573,收盤價!A:C,3,0)</f>
        <v>10.75</v>
      </c>
      <c r="E573" s="163">
        <v>0.24709976798143862</v>
      </c>
      <c r="F573">
        <v>63.85</v>
      </c>
    </row>
    <row r="574" spans="1:6">
      <c r="A574">
        <v>3665</v>
      </c>
      <c r="B574" t="s">
        <v>1164</v>
      </c>
      <c r="C574">
        <v>116</v>
      </c>
      <c r="D574">
        <f>VLOOKUP(A574,收盤價!A:C,3,0)</f>
        <v>144.5</v>
      </c>
      <c r="E574" s="163">
        <v>0.24568965517241378</v>
      </c>
      <c r="F574">
        <v>63.79</v>
      </c>
    </row>
    <row r="575" spans="1:6">
      <c r="A575">
        <v>3672</v>
      </c>
      <c r="B575" t="s">
        <v>359</v>
      </c>
      <c r="C575">
        <v>27.5</v>
      </c>
      <c r="D575">
        <f>VLOOKUP(A575,收盤價!A:C,3,0)</f>
        <v>34.25</v>
      </c>
      <c r="E575" s="163">
        <v>0.24545454545454545</v>
      </c>
      <c r="F575">
        <v>63.72</v>
      </c>
    </row>
    <row r="576" spans="1:6">
      <c r="A576">
        <v>8107</v>
      </c>
      <c r="B576" t="s">
        <v>510</v>
      </c>
      <c r="C576">
        <v>14.35</v>
      </c>
      <c r="D576">
        <f>VLOOKUP(A576,收盤價!A:C,3,0)</f>
        <v>17.850000000000001</v>
      </c>
      <c r="E576" s="163">
        <v>0.24390243902439038</v>
      </c>
      <c r="F576">
        <v>63.66</v>
      </c>
    </row>
    <row r="577" spans="1:6">
      <c r="A577">
        <v>2408</v>
      </c>
      <c r="B577" t="s">
        <v>866</v>
      </c>
      <c r="C577">
        <v>39.9</v>
      </c>
      <c r="D577">
        <f>VLOOKUP(A577,收盤價!A:C,3,0)</f>
        <v>49.6</v>
      </c>
      <c r="E577" s="163">
        <v>0.24310776942355897</v>
      </c>
      <c r="F577">
        <v>63.6</v>
      </c>
    </row>
    <row r="578" spans="1:6">
      <c r="A578">
        <v>4127</v>
      </c>
      <c r="B578" t="s">
        <v>1568</v>
      </c>
      <c r="C578">
        <v>18.100000000000001</v>
      </c>
      <c r="D578">
        <f>VLOOKUP(A578,收盤價!A:C,3,0)</f>
        <v>22.5</v>
      </c>
      <c r="E578" s="163">
        <v>0.24309392265193361</v>
      </c>
      <c r="F578">
        <v>63.53</v>
      </c>
    </row>
    <row r="579" spans="1:6">
      <c r="A579">
        <v>2221</v>
      </c>
      <c r="B579" t="s">
        <v>1453</v>
      </c>
      <c r="C579">
        <v>14</v>
      </c>
      <c r="D579">
        <f>VLOOKUP(A579,收盤價!A:C,3,0)</f>
        <v>17.399999999999999</v>
      </c>
      <c r="E579" s="163">
        <v>0.24285714285714274</v>
      </c>
      <c r="F579">
        <v>63.47</v>
      </c>
    </row>
    <row r="580" spans="1:6">
      <c r="A580">
        <v>2415</v>
      </c>
      <c r="B580" t="s">
        <v>871</v>
      </c>
      <c r="C580">
        <v>9.98</v>
      </c>
      <c r="D580">
        <f>VLOOKUP(A580,收盤價!A:C,3,0)</f>
        <v>12.4</v>
      </c>
      <c r="E580" s="163">
        <v>0.24248496993987975</v>
      </c>
      <c r="F580">
        <v>63.41</v>
      </c>
    </row>
    <row r="581" spans="1:6">
      <c r="A581">
        <v>1788</v>
      </c>
      <c r="B581" t="s">
        <v>1448</v>
      </c>
      <c r="C581">
        <v>82.1</v>
      </c>
      <c r="D581">
        <f>VLOOKUP(A581,收盤價!A:C,3,0)</f>
        <v>102</v>
      </c>
      <c r="E581" s="163">
        <v>0.24238733252131556</v>
      </c>
      <c r="F581">
        <v>63.34</v>
      </c>
    </row>
    <row r="582" spans="1:6">
      <c r="A582">
        <v>5871</v>
      </c>
      <c r="B582" t="s">
        <v>1253</v>
      </c>
      <c r="C582">
        <v>45.9</v>
      </c>
      <c r="D582">
        <f>VLOOKUP(A582,收盤價!A:C,3,0)</f>
        <v>57</v>
      </c>
      <c r="E582" s="163">
        <v>0.24183006535947715</v>
      </c>
      <c r="F582">
        <v>63.28</v>
      </c>
    </row>
    <row r="583" spans="1:6">
      <c r="A583">
        <v>3646</v>
      </c>
      <c r="B583" t="s">
        <v>1549</v>
      </c>
      <c r="C583">
        <v>10.35</v>
      </c>
      <c r="D583">
        <f>VLOOKUP(A583,收盤價!A:C,3,0)</f>
        <v>12.85</v>
      </c>
      <c r="E583" s="163">
        <v>0.24154589371980678</v>
      </c>
      <c r="F583">
        <v>63.22</v>
      </c>
    </row>
    <row r="584" spans="1:6">
      <c r="A584">
        <v>2014</v>
      </c>
      <c r="B584" t="s">
        <v>754</v>
      </c>
      <c r="C584">
        <v>3.77</v>
      </c>
      <c r="D584">
        <f>VLOOKUP(A584,收盤價!A:C,3,0)</f>
        <v>4.68</v>
      </c>
      <c r="E584" s="163">
        <v>0.24137931034482751</v>
      </c>
      <c r="F584">
        <v>63.15</v>
      </c>
    </row>
    <row r="585" spans="1:6">
      <c r="A585">
        <v>1446</v>
      </c>
      <c r="B585" t="s">
        <v>617</v>
      </c>
      <c r="C585">
        <v>18.05</v>
      </c>
      <c r="D585">
        <f>VLOOKUP(A585,收盤價!A:C,3,0)</f>
        <v>22.4</v>
      </c>
      <c r="E585" s="163">
        <v>0.24099722991689737</v>
      </c>
      <c r="F585">
        <v>63.09</v>
      </c>
    </row>
    <row r="586" spans="1:6">
      <c r="A586">
        <v>2102</v>
      </c>
      <c r="B586" t="s">
        <v>775</v>
      </c>
      <c r="C586">
        <v>12.35</v>
      </c>
      <c r="D586">
        <f>VLOOKUP(A586,收盤價!A:C,3,0)</f>
        <v>15.3</v>
      </c>
      <c r="E586" s="163">
        <v>0.23886639676113369</v>
      </c>
      <c r="F586">
        <v>63.03</v>
      </c>
    </row>
    <row r="587" spans="1:6">
      <c r="A587">
        <v>3305</v>
      </c>
      <c r="B587" t="s">
        <v>1110</v>
      </c>
      <c r="C587">
        <v>18.5</v>
      </c>
      <c r="D587">
        <f>VLOOKUP(A587,收盤價!A:C,3,0)</f>
        <v>22.9</v>
      </c>
      <c r="E587" s="163">
        <v>0.23783783783783777</v>
      </c>
      <c r="F587">
        <v>62.97</v>
      </c>
    </row>
    <row r="588" spans="1:6">
      <c r="A588">
        <v>6298</v>
      </c>
      <c r="B588" t="s">
        <v>1767</v>
      </c>
      <c r="C588">
        <v>13.3</v>
      </c>
      <c r="D588">
        <f>VLOOKUP(A588,收盤價!A:C,3,0)</f>
        <v>16.45</v>
      </c>
      <c r="E588" s="163">
        <v>0.23684210526315777</v>
      </c>
      <c r="F588">
        <v>62.9</v>
      </c>
    </row>
    <row r="589" spans="1:6">
      <c r="A589">
        <v>3060</v>
      </c>
      <c r="B589" t="s">
        <v>1095</v>
      </c>
      <c r="C589">
        <v>44.55</v>
      </c>
      <c r="D589">
        <f>VLOOKUP(A589,收盤價!A:C,3,0)</f>
        <v>55.1</v>
      </c>
      <c r="E589" s="163">
        <v>0.23681257014590359</v>
      </c>
      <c r="F589">
        <v>62.84</v>
      </c>
    </row>
    <row r="590" spans="1:6">
      <c r="A590">
        <v>3313</v>
      </c>
      <c r="B590" t="s">
        <v>317</v>
      </c>
      <c r="C590">
        <v>5.72</v>
      </c>
      <c r="D590">
        <f>VLOOKUP(A590,收盤價!A:C,3,0)</f>
        <v>7.07</v>
      </c>
      <c r="E590" s="163">
        <v>0.23601398601398613</v>
      </c>
      <c r="F590">
        <v>62.78</v>
      </c>
    </row>
    <row r="591" spans="1:6">
      <c r="A591">
        <v>6283</v>
      </c>
      <c r="B591" t="s">
        <v>1313</v>
      </c>
      <c r="C591">
        <v>3.65</v>
      </c>
      <c r="D591">
        <f>VLOOKUP(A591,收盤價!A:C,3,0)</f>
        <v>4.51</v>
      </c>
      <c r="E591" s="163">
        <v>0.23561643835616436</v>
      </c>
      <c r="F591">
        <v>62.71</v>
      </c>
    </row>
    <row r="592" spans="1:6">
      <c r="A592">
        <v>4991</v>
      </c>
      <c r="B592" t="s">
        <v>1633</v>
      </c>
      <c r="C592">
        <v>58.3</v>
      </c>
      <c r="D592">
        <f>VLOOKUP(A592,收盤價!A:C,3,0)</f>
        <v>72</v>
      </c>
      <c r="E592" s="163">
        <v>0.23499142367066903</v>
      </c>
      <c r="F592">
        <v>62.65</v>
      </c>
    </row>
    <row r="593" spans="1:6">
      <c r="A593">
        <v>8147</v>
      </c>
      <c r="B593" t="s">
        <v>1806</v>
      </c>
      <c r="C593">
        <v>34.5</v>
      </c>
      <c r="D593">
        <f>VLOOKUP(A593,收盤價!A:C,3,0)</f>
        <v>42.6</v>
      </c>
      <c r="E593" s="163">
        <v>0.23478260869565221</v>
      </c>
      <c r="F593">
        <v>62.59</v>
      </c>
    </row>
    <row r="594" spans="1:6">
      <c r="A594">
        <v>8027</v>
      </c>
      <c r="B594" t="s">
        <v>1775</v>
      </c>
      <c r="C594">
        <v>16.2</v>
      </c>
      <c r="D594">
        <f>VLOOKUP(A594,收盤價!A:C,3,0)</f>
        <v>20</v>
      </c>
      <c r="E594" s="163">
        <v>0.23456790123456794</v>
      </c>
      <c r="F594">
        <v>62.52</v>
      </c>
    </row>
    <row r="595" spans="1:6">
      <c r="A595">
        <v>3064</v>
      </c>
      <c r="B595" t="s">
        <v>1465</v>
      </c>
      <c r="C595">
        <v>15.35</v>
      </c>
      <c r="D595">
        <f>VLOOKUP(A595,收盤價!A:C,3,0)</f>
        <v>18.95</v>
      </c>
      <c r="E595" s="163">
        <v>0.23452768729641693</v>
      </c>
      <c r="F595">
        <v>62.46</v>
      </c>
    </row>
    <row r="596" spans="1:6">
      <c r="A596">
        <v>4965</v>
      </c>
      <c r="B596" t="s">
        <v>398</v>
      </c>
      <c r="C596">
        <v>95.6</v>
      </c>
      <c r="D596">
        <f>VLOOKUP(A596,收盤價!A:C,3,0)</f>
        <v>118</v>
      </c>
      <c r="E596" s="163">
        <v>0.23430962343096243</v>
      </c>
      <c r="F596">
        <v>62.4</v>
      </c>
    </row>
    <row r="597" spans="1:6">
      <c r="A597">
        <v>2451</v>
      </c>
      <c r="B597" t="s">
        <v>899</v>
      </c>
      <c r="C597">
        <v>70</v>
      </c>
      <c r="D597">
        <f>VLOOKUP(A597,收盤價!A:C,3,0)</f>
        <v>86.4</v>
      </c>
      <c r="E597" s="163">
        <v>0.23428571428571437</v>
      </c>
      <c r="F597">
        <v>62.33</v>
      </c>
    </row>
    <row r="598" spans="1:6">
      <c r="A598">
        <v>6020</v>
      </c>
      <c r="B598" t="s">
        <v>449</v>
      </c>
      <c r="C598">
        <v>10.7</v>
      </c>
      <c r="D598">
        <f>VLOOKUP(A598,收盤價!A:C,3,0)</f>
        <v>13.2</v>
      </c>
      <c r="E598" s="163">
        <v>0.23364485981308414</v>
      </c>
      <c r="F598">
        <v>62.27</v>
      </c>
    </row>
    <row r="599" spans="1:6">
      <c r="A599">
        <v>911616</v>
      </c>
      <c r="B599" t="s">
        <v>1385</v>
      </c>
      <c r="C599">
        <v>1.97</v>
      </c>
      <c r="D599">
        <f>VLOOKUP(A599,收盤價!A:C,3,0)</f>
        <v>2.4300000000000002</v>
      </c>
      <c r="E599" s="163">
        <v>0.23350253807106608</v>
      </c>
      <c r="F599">
        <v>62.21</v>
      </c>
    </row>
    <row r="600" spans="1:6">
      <c r="A600">
        <v>6275</v>
      </c>
      <c r="B600" t="s">
        <v>1760</v>
      </c>
      <c r="C600">
        <v>9.65</v>
      </c>
      <c r="D600">
        <f>VLOOKUP(A600,收盤價!A:C,3,0)</f>
        <v>11.9</v>
      </c>
      <c r="E600" s="163">
        <v>0.23316062176165803</v>
      </c>
      <c r="F600">
        <v>62.15</v>
      </c>
    </row>
    <row r="601" spans="1:6">
      <c r="A601">
        <v>2332</v>
      </c>
      <c r="B601" t="s">
        <v>814</v>
      </c>
      <c r="C601">
        <v>8.36</v>
      </c>
      <c r="D601">
        <f>VLOOKUP(A601,收盤價!A:C,3,0)</f>
        <v>10.3</v>
      </c>
      <c r="E601" s="163">
        <v>0.23205741626794274</v>
      </c>
      <c r="F601">
        <v>62.08</v>
      </c>
    </row>
    <row r="602" spans="1:6">
      <c r="A602">
        <v>6024</v>
      </c>
      <c r="B602" t="s">
        <v>451</v>
      </c>
      <c r="C602">
        <v>24.35</v>
      </c>
      <c r="D602">
        <f>VLOOKUP(A602,收盤價!A:C,3,0)</f>
        <v>29.95</v>
      </c>
      <c r="E602" s="163">
        <v>0.22997946611909642</v>
      </c>
      <c r="F602">
        <v>62.02</v>
      </c>
    </row>
    <row r="603" spans="1:6">
      <c r="A603">
        <v>6161</v>
      </c>
      <c r="B603" t="s">
        <v>458</v>
      </c>
      <c r="C603">
        <v>5.74</v>
      </c>
      <c r="D603">
        <f>VLOOKUP(A603,收盤價!A:C,3,0)</f>
        <v>7.06</v>
      </c>
      <c r="E603" s="163">
        <v>0.22996515679442497</v>
      </c>
      <c r="F603">
        <v>61.96</v>
      </c>
    </row>
    <row r="604" spans="1:6">
      <c r="A604">
        <v>2009</v>
      </c>
      <c r="B604" t="s">
        <v>750</v>
      </c>
      <c r="C604">
        <v>5.61</v>
      </c>
      <c r="D604">
        <f>VLOOKUP(A604,收盤價!A:C,3,0)</f>
        <v>6.9</v>
      </c>
      <c r="E604" s="163">
        <v>0.22994652406417113</v>
      </c>
      <c r="F604">
        <v>61.89</v>
      </c>
    </row>
    <row r="605" spans="1:6">
      <c r="A605">
        <v>1903</v>
      </c>
      <c r="B605" t="s">
        <v>740</v>
      </c>
      <c r="C605">
        <v>24.8</v>
      </c>
      <c r="D605">
        <f>VLOOKUP(A605,收盤價!A:C,3,0)</f>
        <v>30.5</v>
      </c>
      <c r="E605" s="163">
        <v>0.22983870967741932</v>
      </c>
      <c r="F605">
        <v>61.83</v>
      </c>
    </row>
    <row r="606" spans="1:6">
      <c r="A606">
        <v>3315</v>
      </c>
      <c r="B606" t="s">
        <v>1114</v>
      </c>
      <c r="C606">
        <v>12.65</v>
      </c>
      <c r="D606">
        <f>VLOOKUP(A606,收盤價!A:C,3,0)</f>
        <v>15.55</v>
      </c>
      <c r="E606" s="163">
        <v>0.22924901185770752</v>
      </c>
      <c r="F606">
        <v>61.77</v>
      </c>
    </row>
    <row r="607" spans="1:6">
      <c r="A607">
        <v>3050</v>
      </c>
      <c r="B607" t="s">
        <v>1086</v>
      </c>
      <c r="C607">
        <v>6.92</v>
      </c>
      <c r="D607">
        <f>VLOOKUP(A607,收盤價!A:C,3,0)</f>
        <v>8.5</v>
      </c>
      <c r="E607" s="163">
        <v>0.22832369942196534</v>
      </c>
      <c r="F607">
        <v>61.7</v>
      </c>
    </row>
    <row r="608" spans="1:6">
      <c r="A608">
        <v>1597</v>
      </c>
      <c r="B608" t="s">
        <v>267</v>
      </c>
      <c r="C608">
        <v>21.9</v>
      </c>
      <c r="D608">
        <f>VLOOKUP(A608,收盤價!A:C,3,0)</f>
        <v>26.9</v>
      </c>
      <c r="E608" s="163">
        <v>0.22831050228310504</v>
      </c>
      <c r="F608">
        <v>61.64</v>
      </c>
    </row>
    <row r="609" spans="1:6">
      <c r="A609">
        <v>2034</v>
      </c>
      <c r="B609" t="s">
        <v>769</v>
      </c>
      <c r="C609">
        <v>15.8</v>
      </c>
      <c r="D609">
        <f>VLOOKUP(A609,收盤價!A:C,3,0)</f>
        <v>19.399999999999999</v>
      </c>
      <c r="E609" s="163">
        <v>0.22784810126582264</v>
      </c>
      <c r="F609">
        <v>61.58</v>
      </c>
    </row>
    <row r="610" spans="1:6">
      <c r="A610">
        <v>6016</v>
      </c>
      <c r="B610" t="s">
        <v>1702</v>
      </c>
      <c r="C610">
        <v>5.7</v>
      </c>
      <c r="D610">
        <f>VLOOKUP(A610,收盤價!A:C,3,0)</f>
        <v>6.99</v>
      </c>
      <c r="E610" s="163">
        <v>0.22631578947368422</v>
      </c>
      <c r="F610">
        <v>61.51</v>
      </c>
    </row>
    <row r="611" spans="1:6">
      <c r="A611">
        <v>2201</v>
      </c>
      <c r="B611" t="s">
        <v>785</v>
      </c>
      <c r="C611">
        <v>25.2</v>
      </c>
      <c r="D611">
        <f>VLOOKUP(A611,收盤價!A:C,3,0)</f>
        <v>30.9</v>
      </c>
      <c r="E611" s="163">
        <v>0.22619047619047616</v>
      </c>
      <c r="F611">
        <v>61.45</v>
      </c>
    </row>
    <row r="612" spans="1:6">
      <c r="A612">
        <v>2324</v>
      </c>
      <c r="B612" t="s">
        <v>807</v>
      </c>
      <c r="C612">
        <v>15.3</v>
      </c>
      <c r="D612">
        <f>VLOOKUP(A612,收盤價!A:C,3,0)</f>
        <v>18.75</v>
      </c>
      <c r="E612" s="163">
        <v>0.22549019607843132</v>
      </c>
      <c r="F612">
        <v>61.39</v>
      </c>
    </row>
    <row r="613" spans="1:6">
      <c r="A613">
        <v>2405</v>
      </c>
      <c r="B613" t="s">
        <v>864</v>
      </c>
      <c r="C613">
        <v>5.68</v>
      </c>
      <c r="D613">
        <f>VLOOKUP(A613,收盤價!A:C,3,0)</f>
        <v>6.96</v>
      </c>
      <c r="E613" s="163">
        <v>0.2253521126760564</v>
      </c>
      <c r="F613">
        <v>61.32</v>
      </c>
    </row>
    <row r="614" spans="1:6">
      <c r="A614">
        <v>9911</v>
      </c>
      <c r="B614" t="s">
        <v>1404</v>
      </c>
      <c r="C614">
        <v>14.9</v>
      </c>
      <c r="D614">
        <f>VLOOKUP(A614,收盤價!A:C,3,0)</f>
        <v>18.25</v>
      </c>
      <c r="E614" s="163">
        <v>0.22483221476510065</v>
      </c>
      <c r="F614">
        <v>61.26</v>
      </c>
    </row>
    <row r="615" spans="1:6">
      <c r="A615">
        <v>3088</v>
      </c>
      <c r="B615" t="s">
        <v>286</v>
      </c>
      <c r="C615">
        <v>51.6</v>
      </c>
      <c r="D615">
        <f>VLOOKUP(A615,收盤價!A:C,3,0)</f>
        <v>63.2</v>
      </c>
      <c r="E615" s="163">
        <v>0.22480620155038761</v>
      </c>
      <c r="F615">
        <v>61.2</v>
      </c>
    </row>
    <row r="616" spans="1:6">
      <c r="A616">
        <v>8039</v>
      </c>
      <c r="B616" t="s">
        <v>1338</v>
      </c>
      <c r="C616">
        <v>31.15</v>
      </c>
      <c r="D616">
        <f>VLOOKUP(A616,收盤價!A:C,3,0)</f>
        <v>38.15</v>
      </c>
      <c r="E616" s="163">
        <v>0.22471910112359553</v>
      </c>
      <c r="F616">
        <v>61.14</v>
      </c>
    </row>
    <row r="617" spans="1:6">
      <c r="A617">
        <v>1815</v>
      </c>
      <c r="B617" t="s">
        <v>1450</v>
      </c>
      <c r="C617">
        <v>8.82</v>
      </c>
      <c r="D617">
        <f>VLOOKUP(A617,收盤價!A:C,3,0)</f>
        <v>10.8</v>
      </c>
      <c r="E617" s="163">
        <v>0.2244897959183674</v>
      </c>
      <c r="F617">
        <v>61.07</v>
      </c>
    </row>
    <row r="618" spans="1:6">
      <c r="A618">
        <v>3563</v>
      </c>
      <c r="B618" t="s">
        <v>347</v>
      </c>
      <c r="C618">
        <v>35.200000000000003</v>
      </c>
      <c r="D618">
        <f>VLOOKUP(A618,收盤價!A:C,3,0)</f>
        <v>43.1</v>
      </c>
      <c r="E618" s="163">
        <v>0.22443181818181812</v>
      </c>
      <c r="F618">
        <v>61.01</v>
      </c>
    </row>
    <row r="619" spans="1:6">
      <c r="A619">
        <v>8289</v>
      </c>
      <c r="B619" t="s">
        <v>1817</v>
      </c>
      <c r="C619">
        <v>9.19</v>
      </c>
      <c r="D619">
        <f>VLOOKUP(A619,收盤價!A:C,3,0)</f>
        <v>11.25</v>
      </c>
      <c r="E619" s="163">
        <v>0.22415669205658331</v>
      </c>
      <c r="F619">
        <v>60.95</v>
      </c>
    </row>
    <row r="620" spans="1:6">
      <c r="A620">
        <v>2303</v>
      </c>
      <c r="B620" t="s">
        <v>796</v>
      </c>
      <c r="C620">
        <v>10.050000000000001</v>
      </c>
      <c r="D620">
        <f>VLOOKUP(A620,收盤價!A:C,3,0)</f>
        <v>12.3</v>
      </c>
      <c r="E620" s="163">
        <v>0.22388059701492535</v>
      </c>
      <c r="F620">
        <v>60.88</v>
      </c>
    </row>
    <row r="621" spans="1:6">
      <c r="A621">
        <v>6152</v>
      </c>
      <c r="B621" t="s">
        <v>1272</v>
      </c>
      <c r="C621">
        <v>5.9</v>
      </c>
      <c r="D621">
        <f>VLOOKUP(A621,收盤價!A:C,3,0)</f>
        <v>7.22</v>
      </c>
      <c r="E621" s="163">
        <v>0.22372881355932192</v>
      </c>
      <c r="F621">
        <v>60.82</v>
      </c>
    </row>
    <row r="622" spans="1:6">
      <c r="A622">
        <v>6021</v>
      </c>
      <c r="B622" t="s">
        <v>450</v>
      </c>
      <c r="C622">
        <v>8.4600000000000009</v>
      </c>
      <c r="D622">
        <f>VLOOKUP(A622,收盤價!A:C,3,0)</f>
        <v>10.35</v>
      </c>
      <c r="E622" s="163">
        <v>0.22340425531914876</v>
      </c>
      <c r="F622">
        <v>60.76</v>
      </c>
    </row>
    <row r="623" spans="1:6">
      <c r="A623">
        <v>4530</v>
      </c>
      <c r="B623" t="s">
        <v>1604</v>
      </c>
      <c r="C623">
        <v>3.9</v>
      </c>
      <c r="D623">
        <f>VLOOKUP(A623,收盤價!A:C,3,0)</f>
        <v>4.7699999999999996</v>
      </c>
      <c r="E623" s="163">
        <v>0.22307692307692301</v>
      </c>
      <c r="F623">
        <v>60.69</v>
      </c>
    </row>
    <row r="624" spans="1:6">
      <c r="A624">
        <v>6143</v>
      </c>
      <c r="B624" t="s">
        <v>1724</v>
      </c>
      <c r="C624">
        <v>46.2</v>
      </c>
      <c r="D624">
        <f>VLOOKUP(A624,收盤價!A:C,3,0)</f>
        <v>56.5</v>
      </c>
      <c r="E624" s="163">
        <v>0.22294372294372286</v>
      </c>
      <c r="F624">
        <v>60.63</v>
      </c>
    </row>
    <row r="625" spans="1:6">
      <c r="A625">
        <v>4430</v>
      </c>
      <c r="B625" t="s">
        <v>1594</v>
      </c>
      <c r="C625">
        <v>23.15</v>
      </c>
      <c r="D625">
        <f>VLOOKUP(A625,收盤價!A:C,3,0)</f>
        <v>28.3</v>
      </c>
      <c r="E625" s="163">
        <v>0.22246220302375821</v>
      </c>
      <c r="F625">
        <v>60.57</v>
      </c>
    </row>
    <row r="626" spans="1:6">
      <c r="A626">
        <v>8093</v>
      </c>
      <c r="B626" t="s">
        <v>1799</v>
      </c>
      <c r="C626">
        <v>4.5999999999999996</v>
      </c>
      <c r="D626">
        <f>VLOOKUP(A626,收盤價!A:C,3,0)</f>
        <v>5.62</v>
      </c>
      <c r="E626" s="163">
        <v>0.22173913043478272</v>
      </c>
      <c r="F626">
        <v>60.5</v>
      </c>
    </row>
    <row r="627" spans="1:6">
      <c r="A627">
        <v>1560</v>
      </c>
      <c r="B627" t="s">
        <v>675</v>
      </c>
      <c r="C627">
        <v>41.75</v>
      </c>
      <c r="D627">
        <f>VLOOKUP(A627,收盤價!A:C,3,0)</f>
        <v>51</v>
      </c>
      <c r="E627" s="163">
        <v>0.22155688622754491</v>
      </c>
      <c r="F627">
        <v>60.44</v>
      </c>
    </row>
    <row r="628" spans="1:6">
      <c r="A628">
        <v>4609</v>
      </c>
      <c r="B628" t="s">
        <v>1609</v>
      </c>
      <c r="C628">
        <v>6.5</v>
      </c>
      <c r="D628">
        <f>VLOOKUP(A628,收盤價!A:C,3,0)</f>
        <v>7.94</v>
      </c>
      <c r="E628" s="163">
        <v>0.2215384615384616</v>
      </c>
      <c r="F628">
        <v>60.38</v>
      </c>
    </row>
    <row r="629" spans="1:6">
      <c r="A629">
        <v>1709</v>
      </c>
      <c r="B629" t="s">
        <v>701</v>
      </c>
      <c r="C629">
        <v>12.2</v>
      </c>
      <c r="D629">
        <f>VLOOKUP(A629,收盤價!A:C,3,0)</f>
        <v>14.9</v>
      </c>
      <c r="E629" s="163">
        <v>0.22131147540983617</v>
      </c>
      <c r="F629">
        <v>60.32</v>
      </c>
    </row>
    <row r="630" spans="1:6">
      <c r="A630">
        <v>4532</v>
      </c>
      <c r="B630" t="s">
        <v>1192</v>
      </c>
      <c r="C630">
        <v>20.149999999999999</v>
      </c>
      <c r="D630">
        <f>VLOOKUP(A630,收盤價!A:C,3,0)</f>
        <v>24.6</v>
      </c>
      <c r="E630" s="163">
        <v>0.22084367245657585</v>
      </c>
      <c r="F630">
        <v>60.25</v>
      </c>
    </row>
    <row r="631" spans="1:6">
      <c r="A631">
        <v>3522</v>
      </c>
      <c r="B631" t="s">
        <v>337</v>
      </c>
      <c r="C631">
        <v>8.11</v>
      </c>
      <c r="D631">
        <f>VLOOKUP(A631,收盤價!A:C,3,0)</f>
        <v>9.9</v>
      </c>
      <c r="E631" s="163">
        <v>0.22071516646115918</v>
      </c>
      <c r="F631">
        <v>60.19</v>
      </c>
    </row>
    <row r="632" spans="1:6">
      <c r="A632">
        <v>1336</v>
      </c>
      <c r="B632" t="s">
        <v>263</v>
      </c>
      <c r="C632">
        <v>6.57</v>
      </c>
      <c r="D632">
        <f>VLOOKUP(A632,收盤價!A:C,3,0)</f>
        <v>8.02</v>
      </c>
      <c r="E632" s="163">
        <v>0.2207001522070014</v>
      </c>
      <c r="F632">
        <v>60.13</v>
      </c>
    </row>
    <row r="633" spans="1:6">
      <c r="A633">
        <v>3652</v>
      </c>
      <c r="B633" t="s">
        <v>356</v>
      </c>
      <c r="C633">
        <v>13.6</v>
      </c>
      <c r="D633">
        <f>VLOOKUP(A633,收盤價!A:C,3,0)</f>
        <v>16.600000000000001</v>
      </c>
      <c r="E633" s="163">
        <v>0.22058823529411778</v>
      </c>
      <c r="F633">
        <v>60.06</v>
      </c>
    </row>
    <row r="634" spans="1:6">
      <c r="A634">
        <v>1304</v>
      </c>
      <c r="B634" t="s">
        <v>572</v>
      </c>
      <c r="C634">
        <v>10.9</v>
      </c>
      <c r="D634">
        <f>VLOOKUP(A634,收盤價!A:C,3,0)</f>
        <v>13.3</v>
      </c>
      <c r="E634" s="163">
        <v>0.22018348623853212</v>
      </c>
      <c r="F634">
        <v>60</v>
      </c>
    </row>
    <row r="635" spans="1:6">
      <c r="A635">
        <v>3031</v>
      </c>
      <c r="B635" t="s">
        <v>1068</v>
      </c>
      <c r="C635">
        <v>8</v>
      </c>
      <c r="D635">
        <f>VLOOKUP(A635,收盤價!A:C,3,0)</f>
        <v>9.76</v>
      </c>
      <c r="E635" s="163">
        <v>0.21999999999999997</v>
      </c>
      <c r="F635">
        <v>59.94</v>
      </c>
    </row>
    <row r="636" spans="1:6">
      <c r="A636">
        <v>2231</v>
      </c>
      <c r="B636" t="s">
        <v>792</v>
      </c>
      <c r="C636">
        <v>320.5</v>
      </c>
      <c r="D636">
        <f>VLOOKUP(A636,收盤價!A:C,3,0)</f>
        <v>391</v>
      </c>
      <c r="E636" s="163">
        <v>0.21996879875195008</v>
      </c>
      <c r="F636">
        <v>59.87</v>
      </c>
    </row>
    <row r="637" spans="1:6">
      <c r="A637">
        <v>5536</v>
      </c>
      <c r="B637" t="s">
        <v>443</v>
      </c>
      <c r="C637">
        <v>71.5</v>
      </c>
      <c r="D637">
        <f>VLOOKUP(A637,收盤價!A:C,3,0)</f>
        <v>87.2</v>
      </c>
      <c r="E637" s="163">
        <v>0.21958041958041963</v>
      </c>
      <c r="F637">
        <v>59.81</v>
      </c>
    </row>
    <row r="638" spans="1:6">
      <c r="A638">
        <v>3188</v>
      </c>
      <c r="B638" t="s">
        <v>296</v>
      </c>
      <c r="C638">
        <v>8.1999999999999993</v>
      </c>
      <c r="D638">
        <f>VLOOKUP(A638,收盤價!A:C,3,0)</f>
        <v>10</v>
      </c>
      <c r="E638" s="163">
        <v>0.21951219512195133</v>
      </c>
      <c r="F638">
        <v>59.75</v>
      </c>
    </row>
    <row r="639" spans="1:6">
      <c r="A639">
        <v>8043</v>
      </c>
      <c r="B639" t="s">
        <v>1780</v>
      </c>
      <c r="C639">
        <v>12.3</v>
      </c>
      <c r="D639">
        <f>VLOOKUP(A639,收盤價!A:C,3,0)</f>
        <v>15</v>
      </c>
      <c r="E639" s="163">
        <v>0.21951219512195114</v>
      </c>
      <c r="F639">
        <v>59.68</v>
      </c>
    </row>
    <row r="640" spans="1:6">
      <c r="A640">
        <v>1218</v>
      </c>
      <c r="B640" t="s">
        <v>557</v>
      </c>
      <c r="C640">
        <v>9.77</v>
      </c>
      <c r="D640">
        <f>VLOOKUP(A640,收盤價!A:C,3,0)</f>
        <v>11.9</v>
      </c>
      <c r="E640" s="163">
        <v>0.21801432958034808</v>
      </c>
      <c r="F640">
        <v>59.62</v>
      </c>
    </row>
    <row r="641" spans="1:6">
      <c r="A641">
        <v>2636</v>
      </c>
      <c r="B641" t="s">
        <v>1455</v>
      </c>
      <c r="C641">
        <v>23.4</v>
      </c>
      <c r="D641">
        <f>VLOOKUP(A641,收盤價!A:C,3,0)</f>
        <v>28.5</v>
      </c>
      <c r="E641" s="163">
        <v>0.21794871794871803</v>
      </c>
      <c r="F641">
        <v>59.56</v>
      </c>
    </row>
    <row r="642" spans="1:6">
      <c r="A642">
        <v>2337</v>
      </c>
      <c r="B642" t="s">
        <v>815</v>
      </c>
      <c r="C642">
        <v>3.95</v>
      </c>
      <c r="D642">
        <f>VLOOKUP(A642,收盤價!A:C,3,0)</f>
        <v>4.8099999999999996</v>
      </c>
      <c r="E642" s="163">
        <v>0.21772151898734163</v>
      </c>
      <c r="F642">
        <v>59.5</v>
      </c>
    </row>
    <row r="643" spans="1:6">
      <c r="A643">
        <v>3441</v>
      </c>
      <c r="B643" t="s">
        <v>1516</v>
      </c>
      <c r="C643">
        <v>9.2799999999999994</v>
      </c>
      <c r="D643">
        <f>VLOOKUP(A643,收盤價!A:C,3,0)</f>
        <v>11.3</v>
      </c>
      <c r="E643" s="163">
        <v>0.21767241379310362</v>
      </c>
      <c r="F643">
        <v>59.43</v>
      </c>
    </row>
    <row r="644" spans="1:6">
      <c r="A644">
        <v>2483</v>
      </c>
      <c r="B644" t="s">
        <v>924</v>
      </c>
      <c r="C644">
        <v>15.4</v>
      </c>
      <c r="D644">
        <f>VLOOKUP(A644,收盤價!A:C,3,0)</f>
        <v>18.75</v>
      </c>
      <c r="E644" s="163">
        <v>0.21753246753246749</v>
      </c>
      <c r="F644">
        <v>59.37</v>
      </c>
    </row>
    <row r="645" spans="1:6">
      <c r="A645">
        <v>1307</v>
      </c>
      <c r="B645" t="s">
        <v>574</v>
      </c>
      <c r="C645">
        <v>32.200000000000003</v>
      </c>
      <c r="D645">
        <f>VLOOKUP(A645,收盤價!A:C,3,0)</f>
        <v>39.200000000000003</v>
      </c>
      <c r="E645" s="163">
        <v>0.21739130434782608</v>
      </c>
      <c r="F645">
        <v>59.31</v>
      </c>
    </row>
    <row r="646" spans="1:6">
      <c r="A646">
        <v>4973</v>
      </c>
      <c r="B646" t="s">
        <v>1631</v>
      </c>
      <c r="C646">
        <v>13.6</v>
      </c>
      <c r="D646">
        <f>VLOOKUP(A646,收盤價!A:C,3,0)</f>
        <v>16.55</v>
      </c>
      <c r="E646" s="163">
        <v>0.21691176470588244</v>
      </c>
      <c r="F646">
        <v>59.24</v>
      </c>
    </row>
    <row r="647" spans="1:6">
      <c r="A647">
        <v>3494</v>
      </c>
      <c r="B647" t="s">
        <v>1131</v>
      </c>
      <c r="C647">
        <v>10.15</v>
      </c>
      <c r="D647">
        <f>VLOOKUP(A647,收盤價!A:C,3,0)</f>
        <v>12.35</v>
      </c>
      <c r="E647" s="163">
        <v>0.21674876847290633</v>
      </c>
      <c r="F647">
        <v>59.18</v>
      </c>
    </row>
    <row r="648" spans="1:6">
      <c r="A648">
        <v>3653</v>
      </c>
      <c r="B648" t="s">
        <v>1162</v>
      </c>
      <c r="C648">
        <v>37</v>
      </c>
      <c r="D648">
        <f>VLOOKUP(A648,收盤價!A:C,3,0)</f>
        <v>45</v>
      </c>
      <c r="E648" s="163">
        <v>0.21621621621621623</v>
      </c>
      <c r="F648">
        <v>59.12</v>
      </c>
    </row>
    <row r="649" spans="1:6">
      <c r="A649">
        <v>5305</v>
      </c>
      <c r="B649" t="s">
        <v>1235</v>
      </c>
      <c r="C649">
        <v>16.899999999999999</v>
      </c>
      <c r="D649">
        <f>VLOOKUP(A649,收盤價!A:C,3,0)</f>
        <v>20.55</v>
      </c>
      <c r="E649" s="163">
        <v>0.21597633136094688</v>
      </c>
      <c r="F649">
        <v>59.05</v>
      </c>
    </row>
    <row r="650" spans="1:6">
      <c r="A650">
        <v>1611</v>
      </c>
      <c r="B650" t="s">
        <v>687</v>
      </c>
      <c r="C650">
        <v>6.44</v>
      </c>
      <c r="D650">
        <f>VLOOKUP(A650,收盤價!A:C,3,0)</f>
        <v>7.83</v>
      </c>
      <c r="E650" s="163">
        <v>0.21583850931677012</v>
      </c>
      <c r="F650">
        <v>58.99</v>
      </c>
    </row>
    <row r="651" spans="1:6">
      <c r="A651">
        <v>9951</v>
      </c>
      <c r="B651" t="s">
        <v>1849</v>
      </c>
      <c r="C651">
        <v>134.5</v>
      </c>
      <c r="D651">
        <f>VLOOKUP(A651,收盤價!A:C,3,0)</f>
        <v>163.5</v>
      </c>
      <c r="E651" s="163">
        <v>0.21561338289962825</v>
      </c>
      <c r="F651">
        <v>58.93</v>
      </c>
    </row>
    <row r="652" spans="1:6">
      <c r="A652">
        <v>3673</v>
      </c>
      <c r="B652" t="s">
        <v>1166</v>
      </c>
      <c r="C652">
        <v>69.2</v>
      </c>
      <c r="D652">
        <f>VLOOKUP(A652,收盤價!A:C,3,0)</f>
        <v>84.1</v>
      </c>
      <c r="E652" s="163">
        <v>0.21531791907514439</v>
      </c>
      <c r="F652">
        <v>58.86</v>
      </c>
    </row>
    <row r="653" spans="1:6">
      <c r="A653">
        <v>3303</v>
      </c>
      <c r="B653" t="s">
        <v>316</v>
      </c>
      <c r="C653">
        <v>14.4</v>
      </c>
      <c r="D653">
        <f>VLOOKUP(A653,收盤價!A:C,3,0)</f>
        <v>17.5</v>
      </c>
      <c r="E653" s="163">
        <v>0.21527777777777773</v>
      </c>
      <c r="F653">
        <v>58.8</v>
      </c>
    </row>
    <row r="654" spans="1:6">
      <c r="A654">
        <v>3062</v>
      </c>
      <c r="B654" t="s">
        <v>1096</v>
      </c>
      <c r="C654">
        <v>12.6</v>
      </c>
      <c r="D654">
        <f>VLOOKUP(A654,收盤價!A:C,3,0)</f>
        <v>15.3</v>
      </c>
      <c r="E654" s="163">
        <v>0.21428571428571438</v>
      </c>
      <c r="F654">
        <v>58.74</v>
      </c>
    </row>
    <row r="655" spans="1:6">
      <c r="A655">
        <v>1806</v>
      </c>
      <c r="B655" t="s">
        <v>734</v>
      </c>
      <c r="C655">
        <v>5.76</v>
      </c>
      <c r="D655">
        <f>VLOOKUP(A655,收盤價!A:C,3,0)</f>
        <v>6.99</v>
      </c>
      <c r="E655" s="163">
        <v>0.21354166666666674</v>
      </c>
      <c r="F655">
        <v>58.68</v>
      </c>
    </row>
    <row r="656" spans="1:6">
      <c r="A656">
        <v>8905</v>
      </c>
      <c r="B656" t="s">
        <v>1834</v>
      </c>
      <c r="C656">
        <v>11.1</v>
      </c>
      <c r="D656">
        <f>VLOOKUP(A656,收盤價!A:C,3,0)</f>
        <v>13.45</v>
      </c>
      <c r="E656" s="163">
        <v>0.21171171171171169</v>
      </c>
      <c r="F656">
        <v>58.61</v>
      </c>
    </row>
    <row r="657" spans="1:6">
      <c r="A657">
        <v>2850</v>
      </c>
      <c r="B657" t="s">
        <v>1010</v>
      </c>
      <c r="C657">
        <v>18.95</v>
      </c>
      <c r="D657">
        <f>VLOOKUP(A657,收盤價!A:C,3,0)</f>
        <v>22.95</v>
      </c>
      <c r="E657" s="163">
        <v>0.21108179419525067</v>
      </c>
      <c r="F657">
        <v>58.55</v>
      </c>
    </row>
    <row r="658" spans="1:6">
      <c r="A658">
        <v>4729</v>
      </c>
      <c r="B658" t="s">
        <v>391</v>
      </c>
      <c r="C658">
        <v>10.45</v>
      </c>
      <c r="D658">
        <f>VLOOKUP(A658,收盤價!A:C,3,0)</f>
        <v>12.65</v>
      </c>
      <c r="E658" s="163">
        <v>0.21052631578947381</v>
      </c>
      <c r="F658">
        <v>58.49</v>
      </c>
    </row>
    <row r="659" spans="1:6">
      <c r="A659">
        <v>1210</v>
      </c>
      <c r="B659" t="s">
        <v>552</v>
      </c>
      <c r="C659">
        <v>16.649999999999999</v>
      </c>
      <c r="D659">
        <f>VLOOKUP(A659,收盤價!A:C,3,0)</f>
        <v>20.149999999999999</v>
      </c>
      <c r="E659" s="163">
        <v>0.21021021021021022</v>
      </c>
      <c r="F659">
        <v>58.42</v>
      </c>
    </row>
    <row r="660" spans="1:6">
      <c r="A660">
        <v>6139</v>
      </c>
      <c r="B660" t="s">
        <v>1268</v>
      </c>
      <c r="C660">
        <v>15</v>
      </c>
      <c r="D660">
        <f>VLOOKUP(A660,收盤價!A:C,3,0)</f>
        <v>18.149999999999999</v>
      </c>
      <c r="E660" s="163">
        <v>0.20999999999999991</v>
      </c>
      <c r="F660">
        <v>58.36</v>
      </c>
    </row>
    <row r="661" spans="1:6">
      <c r="A661">
        <v>3516</v>
      </c>
      <c r="B661" t="s">
        <v>336</v>
      </c>
      <c r="C661">
        <v>7.3</v>
      </c>
      <c r="D661">
        <f>VLOOKUP(A661,收盤價!A:C,3,0)</f>
        <v>8.83</v>
      </c>
      <c r="E661" s="163">
        <v>0.20958904109589044</v>
      </c>
      <c r="F661">
        <v>58.3</v>
      </c>
    </row>
    <row r="662" spans="1:6">
      <c r="A662">
        <v>3491</v>
      </c>
      <c r="B662" t="s">
        <v>1521</v>
      </c>
      <c r="C662">
        <v>54.5</v>
      </c>
      <c r="D662">
        <f>VLOOKUP(A662,收盤價!A:C,3,0)</f>
        <v>65.900000000000006</v>
      </c>
      <c r="E662" s="163">
        <v>0.2091743119266056</v>
      </c>
      <c r="F662">
        <v>58.23</v>
      </c>
    </row>
    <row r="663" spans="1:6">
      <c r="A663">
        <v>9105</v>
      </c>
      <c r="B663" t="s">
        <v>1376</v>
      </c>
      <c r="C663">
        <v>2.68</v>
      </c>
      <c r="D663">
        <f>VLOOKUP(A663,收盤價!A:C,3,0)</f>
        <v>3.24</v>
      </c>
      <c r="E663" s="163">
        <v>0.20895522388059704</v>
      </c>
      <c r="F663">
        <v>58.17</v>
      </c>
    </row>
    <row r="664" spans="1:6">
      <c r="A664">
        <v>6505</v>
      </c>
      <c r="B664" t="s">
        <v>1331</v>
      </c>
      <c r="C664">
        <v>65.099999999999994</v>
      </c>
      <c r="D664">
        <f>VLOOKUP(A664,收盤價!A:C,3,0)</f>
        <v>78.7</v>
      </c>
      <c r="E664" s="163">
        <v>0.20890937019969294</v>
      </c>
      <c r="F664">
        <v>58.11</v>
      </c>
    </row>
    <row r="665" spans="1:6">
      <c r="A665">
        <v>1439</v>
      </c>
      <c r="B665" t="s">
        <v>610</v>
      </c>
      <c r="C665">
        <v>11.5</v>
      </c>
      <c r="D665">
        <f>VLOOKUP(A665,收盤價!A:C,3,0)</f>
        <v>13.9</v>
      </c>
      <c r="E665" s="163">
        <v>0.20869565217391309</v>
      </c>
      <c r="F665">
        <v>58.04</v>
      </c>
    </row>
    <row r="666" spans="1:6">
      <c r="A666">
        <v>6257</v>
      </c>
      <c r="B666" t="s">
        <v>1306</v>
      </c>
      <c r="C666">
        <v>18.7</v>
      </c>
      <c r="D666">
        <f>VLOOKUP(A666,收盤價!A:C,3,0)</f>
        <v>22.6</v>
      </c>
      <c r="E666" s="163">
        <v>0.20855614973262043</v>
      </c>
      <c r="F666">
        <v>57.98</v>
      </c>
    </row>
    <row r="667" spans="1:6">
      <c r="A667">
        <v>3025</v>
      </c>
      <c r="B667" t="s">
        <v>1062</v>
      </c>
      <c r="C667">
        <v>6.77</v>
      </c>
      <c r="D667">
        <f>VLOOKUP(A667,收盤價!A:C,3,0)</f>
        <v>8.18</v>
      </c>
      <c r="E667" s="163">
        <v>0.2082717872968981</v>
      </c>
      <c r="F667">
        <v>57.92</v>
      </c>
    </row>
    <row r="668" spans="1:6">
      <c r="A668">
        <v>1605</v>
      </c>
      <c r="B668" t="s">
        <v>684</v>
      </c>
      <c r="C668">
        <v>6.16</v>
      </c>
      <c r="D668">
        <f>VLOOKUP(A668,收盤價!A:C,3,0)</f>
        <v>7.44</v>
      </c>
      <c r="E668" s="163">
        <v>0.20779220779220783</v>
      </c>
      <c r="F668">
        <v>57.85</v>
      </c>
    </row>
    <row r="669" spans="1:6">
      <c r="A669">
        <v>5439</v>
      </c>
      <c r="B669" t="s">
        <v>431</v>
      </c>
      <c r="C669">
        <v>15.65</v>
      </c>
      <c r="D669">
        <f>VLOOKUP(A669,收盤價!A:C,3,0)</f>
        <v>18.899999999999999</v>
      </c>
      <c r="E669" s="163">
        <v>0.20766773162939287</v>
      </c>
      <c r="F669">
        <v>57.79</v>
      </c>
    </row>
    <row r="670" spans="1:6">
      <c r="A670">
        <v>2207</v>
      </c>
      <c r="B670" t="s">
        <v>788</v>
      </c>
      <c r="C670">
        <v>320.5</v>
      </c>
      <c r="D670">
        <f>VLOOKUP(A670,收盤價!A:C,3,0)</f>
        <v>387</v>
      </c>
      <c r="E670" s="163">
        <v>0.20748829953198128</v>
      </c>
      <c r="F670">
        <v>57.73</v>
      </c>
    </row>
    <row r="671" spans="1:6">
      <c r="A671">
        <v>3624</v>
      </c>
      <c r="B671" t="s">
        <v>352</v>
      </c>
      <c r="C671">
        <v>19.8</v>
      </c>
      <c r="D671">
        <f>VLOOKUP(A671,收盤價!A:C,3,0)</f>
        <v>23.9</v>
      </c>
      <c r="E671" s="163">
        <v>0.20707070707070696</v>
      </c>
      <c r="F671">
        <v>57.67</v>
      </c>
    </row>
    <row r="672" spans="1:6">
      <c r="A672">
        <v>6189</v>
      </c>
      <c r="B672" t="s">
        <v>1284</v>
      </c>
      <c r="C672">
        <v>24.4</v>
      </c>
      <c r="D672">
        <f>VLOOKUP(A672,收盤價!A:C,3,0)</f>
        <v>29.45</v>
      </c>
      <c r="E672" s="163">
        <v>0.20696721311475413</v>
      </c>
      <c r="F672">
        <v>57.6</v>
      </c>
    </row>
    <row r="673" spans="1:6">
      <c r="A673">
        <v>3152</v>
      </c>
      <c r="B673" t="s">
        <v>1479</v>
      </c>
      <c r="C673">
        <v>172</v>
      </c>
      <c r="D673">
        <f>VLOOKUP(A673,收盤價!A:C,3,0)</f>
        <v>207.5</v>
      </c>
      <c r="E673" s="163">
        <v>0.20639534883720931</v>
      </c>
      <c r="F673">
        <v>57.54</v>
      </c>
    </row>
    <row r="674" spans="1:6">
      <c r="A674">
        <v>2311</v>
      </c>
      <c r="B674" t="s">
        <v>799</v>
      </c>
      <c r="C674">
        <v>31.8</v>
      </c>
      <c r="D674">
        <f>VLOOKUP(A674,收盤價!A:C,3,0)</f>
        <v>38.35</v>
      </c>
      <c r="E674" s="163">
        <v>0.20597484276729561</v>
      </c>
      <c r="F674">
        <v>57.48</v>
      </c>
    </row>
    <row r="675" spans="1:6">
      <c r="A675">
        <v>1526</v>
      </c>
      <c r="B675" t="s">
        <v>659</v>
      </c>
      <c r="C675">
        <v>11.9</v>
      </c>
      <c r="D675">
        <f>VLOOKUP(A675,收盤價!A:C,3,0)</f>
        <v>14.35</v>
      </c>
      <c r="E675" s="163">
        <v>0.20588235294117641</v>
      </c>
      <c r="F675">
        <v>57.41</v>
      </c>
    </row>
    <row r="676" spans="1:6">
      <c r="A676">
        <v>2823</v>
      </c>
      <c r="B676" t="s">
        <v>1001</v>
      </c>
      <c r="C676">
        <v>21.9</v>
      </c>
      <c r="D676">
        <f>VLOOKUP(A676,收盤價!A:C,3,0)</f>
        <v>26.4</v>
      </c>
      <c r="E676" s="163">
        <v>0.20547945205479454</v>
      </c>
      <c r="F676">
        <v>57.35</v>
      </c>
    </row>
    <row r="677" spans="1:6">
      <c r="A677">
        <v>8929</v>
      </c>
      <c r="B677" t="s">
        <v>529</v>
      </c>
      <c r="C677">
        <v>18.3</v>
      </c>
      <c r="D677">
        <f>VLOOKUP(A677,收盤價!A:C,3,0)</f>
        <v>22.05</v>
      </c>
      <c r="E677" s="163">
        <v>0.20491803278688525</v>
      </c>
      <c r="F677">
        <v>57.29</v>
      </c>
    </row>
    <row r="678" spans="1:6">
      <c r="A678">
        <v>6442</v>
      </c>
      <c r="B678" t="s">
        <v>1324</v>
      </c>
      <c r="C678">
        <v>41.5</v>
      </c>
      <c r="D678">
        <f>VLOOKUP(A678,收盤價!A:C,3,0)</f>
        <v>50</v>
      </c>
      <c r="E678" s="163">
        <v>0.20481927710843373</v>
      </c>
      <c r="F678">
        <v>57.22</v>
      </c>
    </row>
    <row r="679" spans="1:6">
      <c r="A679">
        <v>3564</v>
      </c>
      <c r="B679" t="s">
        <v>1537</v>
      </c>
      <c r="C679">
        <v>50.4</v>
      </c>
      <c r="D679">
        <f>VLOOKUP(A679,收盤價!A:C,3,0)</f>
        <v>60.7</v>
      </c>
      <c r="E679" s="163">
        <v>0.20436507936507944</v>
      </c>
      <c r="F679">
        <v>57.16</v>
      </c>
    </row>
    <row r="680" spans="1:6">
      <c r="A680">
        <v>6223</v>
      </c>
      <c r="B680" t="s">
        <v>473</v>
      </c>
      <c r="C680">
        <v>50.9</v>
      </c>
      <c r="D680">
        <f>VLOOKUP(A680,收盤價!A:C,3,0)</f>
        <v>61.3</v>
      </c>
      <c r="E680" s="163">
        <v>0.20432220039292728</v>
      </c>
      <c r="F680">
        <v>57.1</v>
      </c>
    </row>
    <row r="681" spans="1:6">
      <c r="A681">
        <v>4722</v>
      </c>
      <c r="B681" t="s">
        <v>1197</v>
      </c>
      <c r="C681">
        <v>25.5</v>
      </c>
      <c r="D681">
        <f>VLOOKUP(A681,收盤價!A:C,3,0)</f>
        <v>30.7</v>
      </c>
      <c r="E681" s="163">
        <v>0.20392156862745095</v>
      </c>
      <c r="F681">
        <v>57.03</v>
      </c>
    </row>
    <row r="682" spans="1:6">
      <c r="A682">
        <v>2423</v>
      </c>
      <c r="B682" t="s">
        <v>876</v>
      </c>
      <c r="C682">
        <v>14.25</v>
      </c>
      <c r="D682">
        <f>VLOOKUP(A682,收盤價!A:C,3,0)</f>
        <v>17.149999999999999</v>
      </c>
      <c r="E682" s="163">
        <v>0.20350877192982447</v>
      </c>
      <c r="F682">
        <v>56.97</v>
      </c>
    </row>
    <row r="683" spans="1:6">
      <c r="A683">
        <v>1612</v>
      </c>
      <c r="B683" t="s">
        <v>688</v>
      </c>
      <c r="C683">
        <v>7.55</v>
      </c>
      <c r="D683">
        <f>VLOOKUP(A683,收盤價!A:C,3,0)</f>
        <v>9.08</v>
      </c>
      <c r="E683" s="163">
        <v>0.20264900662251659</v>
      </c>
      <c r="F683">
        <v>56.91</v>
      </c>
    </row>
    <row r="684" spans="1:6">
      <c r="A684">
        <v>6506</v>
      </c>
      <c r="B684" t="s">
        <v>1773</v>
      </c>
      <c r="C684">
        <v>15.55</v>
      </c>
      <c r="D684">
        <f>VLOOKUP(A684,收盤價!A:C,3,0)</f>
        <v>18.7</v>
      </c>
      <c r="E684" s="163">
        <v>0.20257234726688092</v>
      </c>
      <c r="F684">
        <v>56.85</v>
      </c>
    </row>
    <row r="685" spans="1:6">
      <c r="A685">
        <v>6289</v>
      </c>
      <c r="B685" t="s">
        <v>1316</v>
      </c>
      <c r="C685">
        <v>0.89</v>
      </c>
      <c r="D685">
        <f>VLOOKUP(A685,收盤價!A:C,3,0)</f>
        <v>1.07</v>
      </c>
      <c r="E685" s="163">
        <v>0.202247191011236</v>
      </c>
      <c r="F685">
        <v>56.78</v>
      </c>
    </row>
    <row r="686" spans="1:6">
      <c r="A686">
        <v>1538</v>
      </c>
      <c r="B686" t="s">
        <v>670</v>
      </c>
      <c r="C686">
        <v>4.16</v>
      </c>
      <c r="D686">
        <f>VLOOKUP(A686,收盤價!A:C,3,0)</f>
        <v>5</v>
      </c>
      <c r="E686" s="163">
        <v>0.20192307692307687</v>
      </c>
      <c r="F686">
        <v>56.72</v>
      </c>
    </row>
    <row r="687" spans="1:6">
      <c r="A687">
        <v>1227</v>
      </c>
      <c r="B687" t="s">
        <v>561</v>
      </c>
      <c r="C687">
        <v>66.7</v>
      </c>
      <c r="D687">
        <f>VLOOKUP(A687,收盤價!A:C,3,0)</f>
        <v>80.099999999999994</v>
      </c>
      <c r="E687" s="163">
        <v>0.20089955022488742</v>
      </c>
      <c r="F687">
        <v>56.66</v>
      </c>
    </row>
    <row r="688" spans="1:6">
      <c r="A688">
        <v>2913</v>
      </c>
      <c r="B688" t="s">
        <v>1040</v>
      </c>
      <c r="C688">
        <v>12.2</v>
      </c>
      <c r="D688">
        <f>VLOOKUP(A688,收盤價!A:C,3,0)</f>
        <v>14.65</v>
      </c>
      <c r="E688" s="163">
        <v>0.20081967213114765</v>
      </c>
      <c r="F688">
        <v>56.59</v>
      </c>
    </row>
    <row r="689" spans="1:6">
      <c r="A689">
        <v>5383</v>
      </c>
      <c r="B689" t="s">
        <v>1666</v>
      </c>
      <c r="C689">
        <v>8.1999999999999993</v>
      </c>
      <c r="D689">
        <f>VLOOKUP(A689,收盤價!A:C,3,0)</f>
        <v>9.84</v>
      </c>
      <c r="E689" s="163">
        <v>0.20000000000000009</v>
      </c>
      <c r="F689">
        <v>56.53</v>
      </c>
    </row>
    <row r="690" spans="1:6">
      <c r="A690">
        <v>1530</v>
      </c>
      <c r="B690" t="s">
        <v>663</v>
      </c>
      <c r="C690">
        <v>25.5</v>
      </c>
      <c r="D690">
        <f>VLOOKUP(A690,收盤價!A:C,3,0)</f>
        <v>30.6</v>
      </c>
      <c r="E690" s="163">
        <v>0.20000000000000007</v>
      </c>
      <c r="F690">
        <v>56.47</v>
      </c>
    </row>
    <row r="691" spans="1:6">
      <c r="A691">
        <v>3042</v>
      </c>
      <c r="B691" t="s">
        <v>1078</v>
      </c>
      <c r="C691">
        <v>30</v>
      </c>
      <c r="D691">
        <f>VLOOKUP(A691,收盤價!A:C,3,0)</f>
        <v>36</v>
      </c>
      <c r="E691" s="163">
        <v>0.2</v>
      </c>
      <c r="F691">
        <v>56.4</v>
      </c>
    </row>
    <row r="692" spans="1:6">
      <c r="A692">
        <v>3689</v>
      </c>
      <c r="B692" t="s">
        <v>1557</v>
      </c>
      <c r="C692">
        <v>28.3</v>
      </c>
      <c r="D692">
        <f>VLOOKUP(A692,收盤價!A:C,3,0)</f>
        <v>33.950000000000003</v>
      </c>
      <c r="E692" s="163">
        <v>0.19964664310954069</v>
      </c>
      <c r="F692">
        <v>56.34</v>
      </c>
    </row>
    <row r="693" spans="1:6">
      <c r="A693">
        <v>3163</v>
      </c>
      <c r="B693" t="s">
        <v>294</v>
      </c>
      <c r="C693">
        <v>27.1</v>
      </c>
      <c r="D693">
        <f>VLOOKUP(A693,收盤價!A:C,3,0)</f>
        <v>32.5</v>
      </c>
      <c r="E693" s="163">
        <v>0.19926199261992614</v>
      </c>
      <c r="F693">
        <v>56.28</v>
      </c>
    </row>
    <row r="694" spans="1:6">
      <c r="A694">
        <v>2471</v>
      </c>
      <c r="B694" t="s">
        <v>915</v>
      </c>
      <c r="C694">
        <v>10.8</v>
      </c>
      <c r="D694">
        <f>VLOOKUP(A694,收盤價!A:C,3,0)</f>
        <v>12.95</v>
      </c>
      <c r="E694" s="163">
        <v>0.19907407407407393</v>
      </c>
      <c r="F694">
        <v>56.21</v>
      </c>
    </row>
    <row r="695" spans="1:6">
      <c r="A695">
        <v>5016</v>
      </c>
      <c r="B695" t="s">
        <v>1637</v>
      </c>
      <c r="C695">
        <v>19.899999999999999</v>
      </c>
      <c r="D695">
        <f>VLOOKUP(A695,收盤價!A:C,3,0)</f>
        <v>23.85</v>
      </c>
      <c r="E695" s="163">
        <v>0.19849246231155795</v>
      </c>
      <c r="F695">
        <v>56.15</v>
      </c>
    </row>
    <row r="696" spans="1:6">
      <c r="A696">
        <v>3019</v>
      </c>
      <c r="B696" t="s">
        <v>1057</v>
      </c>
      <c r="C696">
        <v>23.95</v>
      </c>
      <c r="D696">
        <f>VLOOKUP(A696,收盤價!A:C,3,0)</f>
        <v>28.7</v>
      </c>
      <c r="E696" s="163">
        <v>0.19832985386221294</v>
      </c>
      <c r="F696">
        <v>56.09</v>
      </c>
    </row>
    <row r="697" spans="1:6">
      <c r="A697">
        <v>2430</v>
      </c>
      <c r="B697" t="s">
        <v>883</v>
      </c>
      <c r="C697">
        <v>17.649999999999999</v>
      </c>
      <c r="D697">
        <f>VLOOKUP(A697,收盤價!A:C,3,0)</f>
        <v>21.15</v>
      </c>
      <c r="E697" s="163">
        <v>0.19830028328611898</v>
      </c>
      <c r="F697">
        <v>56.03</v>
      </c>
    </row>
    <row r="698" spans="1:6">
      <c r="A698">
        <v>1618</v>
      </c>
      <c r="B698" t="s">
        <v>694</v>
      </c>
      <c r="C698">
        <v>6.01</v>
      </c>
      <c r="D698">
        <f>VLOOKUP(A698,收盤價!A:C,3,0)</f>
        <v>7.2</v>
      </c>
      <c r="E698" s="163">
        <v>0.1980033277870217</v>
      </c>
      <c r="F698">
        <v>55.96</v>
      </c>
    </row>
    <row r="699" spans="1:6">
      <c r="A699">
        <v>5013</v>
      </c>
      <c r="B699" t="s">
        <v>1635</v>
      </c>
      <c r="C699">
        <v>14.15</v>
      </c>
      <c r="D699">
        <f>VLOOKUP(A699,收盤價!A:C,3,0)</f>
        <v>16.95</v>
      </c>
      <c r="E699" s="163">
        <v>0.19787985865724372</v>
      </c>
      <c r="F699">
        <v>55.9</v>
      </c>
    </row>
    <row r="700" spans="1:6">
      <c r="A700">
        <v>8050</v>
      </c>
      <c r="B700" t="s">
        <v>1785</v>
      </c>
      <c r="C700">
        <v>42.75</v>
      </c>
      <c r="D700">
        <f>VLOOKUP(A700,收盤價!A:C,3,0)</f>
        <v>51.2</v>
      </c>
      <c r="E700" s="163">
        <v>0.19766081871345037</v>
      </c>
      <c r="F700">
        <v>55.84</v>
      </c>
    </row>
    <row r="701" spans="1:6">
      <c r="A701">
        <v>2316</v>
      </c>
      <c r="B701" t="s">
        <v>803</v>
      </c>
      <c r="C701">
        <v>22.55</v>
      </c>
      <c r="D701">
        <f>VLOOKUP(A701,收盤價!A:C,3,0)</f>
        <v>27</v>
      </c>
      <c r="E701" s="163">
        <v>0.19733924611973389</v>
      </c>
      <c r="F701">
        <v>55.77</v>
      </c>
    </row>
    <row r="702" spans="1:6">
      <c r="A702">
        <v>912000</v>
      </c>
      <c r="B702" t="s">
        <v>1390</v>
      </c>
      <c r="C702">
        <v>3.06</v>
      </c>
      <c r="D702">
        <f>VLOOKUP(A702,收盤價!A:C,3,0)</f>
        <v>3.66</v>
      </c>
      <c r="E702" s="163">
        <v>0.19607843137254904</v>
      </c>
      <c r="F702">
        <v>55.71</v>
      </c>
    </row>
    <row r="703" spans="1:6">
      <c r="A703">
        <v>1810</v>
      </c>
      <c r="B703" t="s">
        <v>737</v>
      </c>
      <c r="C703">
        <v>6.9</v>
      </c>
      <c r="D703">
        <f>VLOOKUP(A703,收盤價!A:C,3,0)</f>
        <v>8.25</v>
      </c>
      <c r="E703" s="163">
        <v>0.1956521739130434</v>
      </c>
      <c r="F703">
        <v>55.65</v>
      </c>
    </row>
    <row r="704" spans="1:6">
      <c r="A704">
        <v>8109</v>
      </c>
      <c r="B704" t="s">
        <v>1803</v>
      </c>
      <c r="C704">
        <v>49.2</v>
      </c>
      <c r="D704">
        <f>VLOOKUP(A704,收盤價!A:C,3,0)</f>
        <v>58.8</v>
      </c>
      <c r="E704" s="163">
        <v>0.19512195121951206</v>
      </c>
      <c r="F704">
        <v>55.58</v>
      </c>
    </row>
    <row r="705" spans="1:6">
      <c r="A705">
        <v>2642</v>
      </c>
      <c r="B705" t="s">
        <v>984</v>
      </c>
      <c r="C705">
        <v>24.35</v>
      </c>
      <c r="D705">
        <f>VLOOKUP(A705,收盤價!A:C,3,0)</f>
        <v>29.1</v>
      </c>
      <c r="E705" s="163">
        <v>0.19507186858316219</v>
      </c>
      <c r="F705">
        <v>55.52</v>
      </c>
    </row>
    <row r="706" spans="1:6">
      <c r="A706">
        <v>8021</v>
      </c>
      <c r="B706" t="s">
        <v>1336</v>
      </c>
      <c r="C706">
        <v>19.5</v>
      </c>
      <c r="D706">
        <f>VLOOKUP(A706,收盤價!A:C,3,0)</f>
        <v>23.3</v>
      </c>
      <c r="E706" s="163">
        <v>0.1948717948717949</v>
      </c>
      <c r="F706">
        <v>55.46</v>
      </c>
    </row>
    <row r="707" spans="1:6">
      <c r="A707">
        <v>3297</v>
      </c>
      <c r="B707" t="s">
        <v>314</v>
      </c>
      <c r="C707">
        <v>14.65</v>
      </c>
      <c r="D707">
        <f>VLOOKUP(A707,收盤價!A:C,3,0)</f>
        <v>17.5</v>
      </c>
      <c r="E707" s="163">
        <v>0.19453924914675766</v>
      </c>
      <c r="F707">
        <v>55.39</v>
      </c>
    </row>
    <row r="708" spans="1:6">
      <c r="A708">
        <v>8942</v>
      </c>
      <c r="B708" t="s">
        <v>1846</v>
      </c>
      <c r="C708">
        <v>72.5</v>
      </c>
      <c r="D708">
        <f>VLOOKUP(A708,收盤價!A:C,3,0)</f>
        <v>86.6</v>
      </c>
      <c r="E708" s="163">
        <v>0.19448275862068959</v>
      </c>
      <c r="F708">
        <v>55.33</v>
      </c>
    </row>
    <row r="709" spans="1:6">
      <c r="A709">
        <v>2031</v>
      </c>
      <c r="B709" t="s">
        <v>766</v>
      </c>
      <c r="C709">
        <v>10.8</v>
      </c>
      <c r="D709">
        <f>VLOOKUP(A709,收盤價!A:C,3,0)</f>
        <v>12.9</v>
      </c>
      <c r="E709" s="163">
        <v>0.19444444444444439</v>
      </c>
      <c r="F709">
        <v>55.27</v>
      </c>
    </row>
    <row r="710" spans="1:6">
      <c r="A710">
        <v>5529</v>
      </c>
      <c r="B710" t="s">
        <v>1691</v>
      </c>
      <c r="C710">
        <v>6.8</v>
      </c>
      <c r="D710">
        <f>VLOOKUP(A710,收盤價!A:C,3,0)</f>
        <v>8.1199999999999992</v>
      </c>
      <c r="E710" s="163">
        <v>0.19411764705882345</v>
      </c>
      <c r="F710">
        <v>55.21</v>
      </c>
    </row>
    <row r="711" spans="1:6">
      <c r="A711">
        <v>3551</v>
      </c>
      <c r="B711" t="s">
        <v>342</v>
      </c>
      <c r="C711">
        <v>29.15</v>
      </c>
      <c r="D711">
        <f>VLOOKUP(A711,收盤價!A:C,3,0)</f>
        <v>34.799999999999997</v>
      </c>
      <c r="E711" s="163">
        <v>0.19382504288164662</v>
      </c>
      <c r="F711">
        <v>55.14</v>
      </c>
    </row>
    <row r="712" spans="1:6">
      <c r="A712">
        <v>3033</v>
      </c>
      <c r="B712" t="s">
        <v>1070</v>
      </c>
      <c r="C712">
        <v>16</v>
      </c>
      <c r="D712">
        <f>VLOOKUP(A712,收盤價!A:C,3,0)</f>
        <v>19.100000000000001</v>
      </c>
      <c r="E712" s="163">
        <v>0.19375000000000009</v>
      </c>
      <c r="F712">
        <v>55.08</v>
      </c>
    </row>
    <row r="713" spans="1:6">
      <c r="A713">
        <v>1301</v>
      </c>
      <c r="B713" t="s">
        <v>570</v>
      </c>
      <c r="C713">
        <v>62</v>
      </c>
      <c r="D713">
        <f>VLOOKUP(A713,收盤價!A:C,3,0)</f>
        <v>74</v>
      </c>
      <c r="E713" s="163">
        <v>0.19354838709677419</v>
      </c>
      <c r="F713">
        <v>55.02</v>
      </c>
    </row>
    <row r="714" spans="1:6">
      <c r="A714">
        <v>3577</v>
      </c>
      <c r="B714" t="s">
        <v>1540</v>
      </c>
      <c r="C714">
        <v>25.9</v>
      </c>
      <c r="D714">
        <f>VLOOKUP(A714,收盤價!A:C,3,0)</f>
        <v>30.9</v>
      </c>
      <c r="E714" s="163">
        <v>0.19305019305019305</v>
      </c>
      <c r="F714">
        <v>54.95</v>
      </c>
    </row>
    <row r="715" spans="1:6">
      <c r="A715">
        <v>8249</v>
      </c>
      <c r="B715" t="s">
        <v>1357</v>
      </c>
      <c r="C715">
        <v>18.55</v>
      </c>
      <c r="D715">
        <f>VLOOKUP(A715,收盤價!A:C,3,0)</f>
        <v>22.1</v>
      </c>
      <c r="E715" s="163">
        <v>0.19137466307277631</v>
      </c>
      <c r="F715">
        <v>54.89</v>
      </c>
    </row>
    <row r="716" spans="1:6">
      <c r="A716">
        <v>2401</v>
      </c>
      <c r="B716" t="s">
        <v>861</v>
      </c>
      <c r="C716">
        <v>9.9499999999999993</v>
      </c>
      <c r="D716">
        <f>VLOOKUP(A716,收盤價!A:C,3,0)</f>
        <v>11.85</v>
      </c>
      <c r="E716" s="163">
        <v>0.19095477386934678</v>
      </c>
      <c r="F716">
        <v>54.83</v>
      </c>
    </row>
    <row r="717" spans="1:6">
      <c r="A717">
        <v>3402</v>
      </c>
      <c r="B717" t="s">
        <v>1513</v>
      </c>
      <c r="C717">
        <v>11.3</v>
      </c>
      <c r="D717">
        <f>VLOOKUP(A717,收盤價!A:C,3,0)</f>
        <v>13.45</v>
      </c>
      <c r="E717" s="163">
        <v>0.19026548672566357</v>
      </c>
      <c r="F717">
        <v>54.76</v>
      </c>
    </row>
    <row r="718" spans="1:6">
      <c r="A718">
        <v>3416</v>
      </c>
      <c r="B718" t="s">
        <v>1122</v>
      </c>
      <c r="C718">
        <v>47.2</v>
      </c>
      <c r="D718">
        <f>VLOOKUP(A718,收盤價!A:C,3,0)</f>
        <v>56.1</v>
      </c>
      <c r="E718" s="163">
        <v>0.18855932203389827</v>
      </c>
      <c r="F718">
        <v>54.7</v>
      </c>
    </row>
    <row r="719" spans="1:6">
      <c r="A719">
        <v>5312</v>
      </c>
      <c r="B719" t="s">
        <v>419</v>
      </c>
      <c r="C719">
        <v>67.5</v>
      </c>
      <c r="D719">
        <f>VLOOKUP(A719,收盤價!A:C,3,0)</f>
        <v>80.2</v>
      </c>
      <c r="E719" s="163">
        <v>0.1881481481481482</v>
      </c>
      <c r="F719">
        <v>54.64</v>
      </c>
    </row>
    <row r="720" spans="1:6">
      <c r="A720">
        <v>1308</v>
      </c>
      <c r="B720" t="s">
        <v>575</v>
      </c>
      <c r="C720">
        <v>14.65</v>
      </c>
      <c r="D720">
        <f>VLOOKUP(A720,收盤價!A:C,3,0)</f>
        <v>17.399999999999999</v>
      </c>
      <c r="E720" s="163">
        <v>0.18771331058020466</v>
      </c>
      <c r="F720">
        <v>54.57</v>
      </c>
    </row>
    <row r="721" spans="1:6">
      <c r="A721">
        <v>2371</v>
      </c>
      <c r="B721" t="s">
        <v>842</v>
      </c>
      <c r="C721">
        <v>4.59</v>
      </c>
      <c r="D721">
        <f>VLOOKUP(A721,收盤價!A:C,3,0)</f>
        <v>5.45</v>
      </c>
      <c r="E721" s="163">
        <v>0.18736383442265803</v>
      </c>
      <c r="F721">
        <v>54.51</v>
      </c>
    </row>
    <row r="722" spans="1:6">
      <c r="A722">
        <v>5202</v>
      </c>
      <c r="B722" t="s">
        <v>1639</v>
      </c>
      <c r="C722">
        <v>12.55</v>
      </c>
      <c r="D722">
        <f>VLOOKUP(A722,收盤價!A:C,3,0)</f>
        <v>14.9</v>
      </c>
      <c r="E722" s="163">
        <v>0.18725099601593623</v>
      </c>
      <c r="F722">
        <v>54.45</v>
      </c>
    </row>
    <row r="723" spans="1:6">
      <c r="A723">
        <v>8076</v>
      </c>
      <c r="B723" t="s">
        <v>1792</v>
      </c>
      <c r="C723">
        <v>76</v>
      </c>
      <c r="D723">
        <f>VLOOKUP(A723,收盤價!A:C,3,0)</f>
        <v>90.2</v>
      </c>
      <c r="E723" s="163">
        <v>0.18684210526315792</v>
      </c>
      <c r="F723">
        <v>54.38</v>
      </c>
    </row>
    <row r="724" spans="1:6">
      <c r="A724">
        <v>1528</v>
      </c>
      <c r="B724" t="s">
        <v>661</v>
      </c>
      <c r="C724">
        <v>7.6</v>
      </c>
      <c r="D724">
        <f>VLOOKUP(A724,收盤價!A:C,3,0)</f>
        <v>9.02</v>
      </c>
      <c r="E724" s="163">
        <v>0.18684210526315789</v>
      </c>
      <c r="F724">
        <v>54.32</v>
      </c>
    </row>
    <row r="725" spans="1:6">
      <c r="A725">
        <v>8299</v>
      </c>
      <c r="B725" t="s">
        <v>1819</v>
      </c>
      <c r="C725">
        <v>201</v>
      </c>
      <c r="D725">
        <f>VLOOKUP(A725,收盤價!A:C,3,0)</f>
        <v>238.5</v>
      </c>
      <c r="E725" s="163">
        <v>0.18656716417910449</v>
      </c>
      <c r="F725">
        <v>54.26</v>
      </c>
    </row>
    <row r="726" spans="1:6">
      <c r="A726">
        <v>8390</v>
      </c>
      <c r="B726" t="s">
        <v>1823</v>
      </c>
      <c r="C726">
        <v>11.8</v>
      </c>
      <c r="D726">
        <f>VLOOKUP(A726,收盤價!A:C,3,0)</f>
        <v>14</v>
      </c>
      <c r="E726" s="163">
        <v>0.18644067796610161</v>
      </c>
      <c r="F726">
        <v>54.2</v>
      </c>
    </row>
    <row r="727" spans="1:6">
      <c r="A727">
        <v>3306</v>
      </c>
      <c r="B727" t="s">
        <v>1502</v>
      </c>
      <c r="C727">
        <v>19.600000000000001</v>
      </c>
      <c r="D727">
        <f>VLOOKUP(A727,收盤價!A:C,3,0)</f>
        <v>23.25</v>
      </c>
      <c r="E727" s="163">
        <v>0.18622448979591827</v>
      </c>
      <c r="F727">
        <v>54.13</v>
      </c>
    </row>
    <row r="728" spans="1:6">
      <c r="A728">
        <v>2448</v>
      </c>
      <c r="B728" t="s">
        <v>896</v>
      </c>
      <c r="C728">
        <v>21.5</v>
      </c>
      <c r="D728">
        <f>VLOOKUP(A728,收盤價!A:C,3,0)</f>
        <v>25.5</v>
      </c>
      <c r="E728" s="163">
        <v>0.18604651162790697</v>
      </c>
      <c r="F728">
        <v>54.07</v>
      </c>
    </row>
    <row r="729" spans="1:6">
      <c r="A729">
        <v>3428</v>
      </c>
      <c r="B729" t="s">
        <v>326</v>
      </c>
      <c r="C729">
        <v>50.6</v>
      </c>
      <c r="D729">
        <f>VLOOKUP(A729,收盤價!A:C,3,0)</f>
        <v>60</v>
      </c>
      <c r="E729" s="163">
        <v>0.18577075098814225</v>
      </c>
      <c r="F729">
        <v>54.01</v>
      </c>
    </row>
    <row r="730" spans="1:6">
      <c r="A730">
        <v>1582</v>
      </c>
      <c r="B730" t="s">
        <v>677</v>
      </c>
      <c r="C730">
        <v>41</v>
      </c>
      <c r="D730">
        <f>VLOOKUP(A730,收盤價!A:C,3,0)</f>
        <v>48.6</v>
      </c>
      <c r="E730" s="163">
        <v>0.18536585365853661</v>
      </c>
      <c r="F730">
        <v>53.94</v>
      </c>
    </row>
    <row r="731" spans="1:6">
      <c r="A731">
        <v>3058</v>
      </c>
      <c r="B731" t="s">
        <v>1093</v>
      </c>
      <c r="C731">
        <v>7.2</v>
      </c>
      <c r="D731">
        <f>VLOOKUP(A731,收盤價!A:C,3,0)</f>
        <v>8.5299999999999994</v>
      </c>
      <c r="E731" s="163">
        <v>0.18472222222222209</v>
      </c>
      <c r="F731">
        <v>53.88</v>
      </c>
    </row>
    <row r="732" spans="1:6">
      <c r="A732">
        <v>5410</v>
      </c>
      <c r="B732" t="s">
        <v>1670</v>
      </c>
      <c r="C732">
        <v>9.5</v>
      </c>
      <c r="D732">
        <f>VLOOKUP(A732,收盤價!A:C,3,0)</f>
        <v>11.25</v>
      </c>
      <c r="E732" s="163">
        <v>0.18421052631578946</v>
      </c>
      <c r="F732">
        <v>53.82</v>
      </c>
    </row>
    <row r="733" spans="1:6">
      <c r="A733">
        <v>1465</v>
      </c>
      <c r="B733" t="s">
        <v>631</v>
      </c>
      <c r="C733">
        <v>12.5</v>
      </c>
      <c r="D733">
        <f>VLOOKUP(A733,收盤價!A:C,3,0)</f>
        <v>14.8</v>
      </c>
      <c r="E733" s="163">
        <v>0.18400000000000005</v>
      </c>
      <c r="F733">
        <v>53.75</v>
      </c>
    </row>
    <row r="734" spans="1:6">
      <c r="A734">
        <v>4939</v>
      </c>
      <c r="B734" t="s">
        <v>396</v>
      </c>
      <c r="C734">
        <v>6.53</v>
      </c>
      <c r="D734">
        <f>VLOOKUP(A734,收盤價!A:C,3,0)</f>
        <v>7.73</v>
      </c>
      <c r="E734" s="163">
        <v>0.18376722817764168</v>
      </c>
      <c r="F734">
        <v>53.69</v>
      </c>
    </row>
    <row r="735" spans="1:6">
      <c r="A735">
        <v>8112</v>
      </c>
      <c r="B735" t="s">
        <v>1347</v>
      </c>
      <c r="C735">
        <v>10.9</v>
      </c>
      <c r="D735">
        <f>VLOOKUP(A735,收盤價!A:C,3,0)</f>
        <v>12.9</v>
      </c>
      <c r="E735" s="163">
        <v>0.18348623853211007</v>
      </c>
      <c r="F735">
        <v>53.63</v>
      </c>
    </row>
    <row r="736" spans="1:6">
      <c r="A736">
        <v>6180</v>
      </c>
      <c r="B736" t="s">
        <v>1735</v>
      </c>
      <c r="C736">
        <v>36</v>
      </c>
      <c r="D736">
        <f>VLOOKUP(A736,收盤價!A:C,3,0)</f>
        <v>42.6</v>
      </c>
      <c r="E736" s="163">
        <v>0.18333333333333338</v>
      </c>
      <c r="F736">
        <v>53.56</v>
      </c>
    </row>
    <row r="737" spans="1:6">
      <c r="A737">
        <v>2453</v>
      </c>
      <c r="B737" t="s">
        <v>900</v>
      </c>
      <c r="C737">
        <v>9</v>
      </c>
      <c r="D737">
        <f>VLOOKUP(A737,收盤價!A:C,3,0)</f>
        <v>10.65</v>
      </c>
      <c r="E737" s="163">
        <v>0.18333333333333338</v>
      </c>
      <c r="F737">
        <v>53.5</v>
      </c>
    </row>
    <row r="738" spans="1:6">
      <c r="A738">
        <v>1451</v>
      </c>
      <c r="B738" t="s">
        <v>620</v>
      </c>
      <c r="C738">
        <v>18.100000000000001</v>
      </c>
      <c r="D738">
        <f>VLOOKUP(A738,收盤價!A:C,3,0)</f>
        <v>21.4</v>
      </c>
      <c r="E738" s="163">
        <v>0.18232044198895012</v>
      </c>
      <c r="F738">
        <v>53.44</v>
      </c>
    </row>
    <row r="739" spans="1:6">
      <c r="A739">
        <v>3022</v>
      </c>
      <c r="B739" t="s">
        <v>1059</v>
      </c>
      <c r="C739">
        <v>33.1</v>
      </c>
      <c r="D739">
        <f>VLOOKUP(A739,收盤價!A:C,3,0)</f>
        <v>39.1</v>
      </c>
      <c r="E739" s="163">
        <v>0.18126888217522658</v>
      </c>
      <c r="F739">
        <v>53.38</v>
      </c>
    </row>
    <row r="740" spans="1:6">
      <c r="A740">
        <v>9941</v>
      </c>
      <c r="B740" t="s">
        <v>1426</v>
      </c>
      <c r="C740">
        <v>62.9</v>
      </c>
      <c r="D740">
        <f>VLOOKUP(A740,收盤價!A:C,3,0)</f>
        <v>74.3</v>
      </c>
      <c r="E740" s="163">
        <v>0.18124006359300476</v>
      </c>
      <c r="F740">
        <v>53.31</v>
      </c>
    </row>
    <row r="741" spans="1:6">
      <c r="A741">
        <v>5403</v>
      </c>
      <c r="B741" t="s">
        <v>1860</v>
      </c>
      <c r="C741">
        <v>18.5</v>
      </c>
      <c r="D741">
        <f>VLOOKUP(A741,收盤價!A:C,3,0)</f>
        <v>21.85</v>
      </c>
      <c r="E741" s="163">
        <v>0.18108108108108115</v>
      </c>
      <c r="F741">
        <v>53.25</v>
      </c>
    </row>
    <row r="742" spans="1:6">
      <c r="A742">
        <v>3299</v>
      </c>
      <c r="B742" t="s">
        <v>315</v>
      </c>
      <c r="C742">
        <v>41.7</v>
      </c>
      <c r="D742">
        <f>VLOOKUP(A742,收盤價!A:C,3,0)</f>
        <v>49.25</v>
      </c>
      <c r="E742" s="163">
        <v>0.18105515587529969</v>
      </c>
      <c r="F742">
        <v>53.19</v>
      </c>
    </row>
    <row r="743" spans="1:6">
      <c r="A743">
        <v>4987</v>
      </c>
      <c r="B743" t="s">
        <v>1632</v>
      </c>
      <c r="C743">
        <v>59.3</v>
      </c>
      <c r="D743">
        <f>VLOOKUP(A743,收盤價!A:C,3,0)</f>
        <v>70</v>
      </c>
      <c r="E743" s="163">
        <v>0.18043844856661051</v>
      </c>
      <c r="F743">
        <v>53.12</v>
      </c>
    </row>
    <row r="744" spans="1:6">
      <c r="A744">
        <v>2480</v>
      </c>
      <c r="B744" t="s">
        <v>921</v>
      </c>
      <c r="C744">
        <v>20.8</v>
      </c>
      <c r="D744">
        <f>VLOOKUP(A744,收盤價!A:C,3,0)</f>
        <v>24.55</v>
      </c>
      <c r="E744" s="163">
        <v>0.18028846153846154</v>
      </c>
      <c r="F744">
        <v>53.06</v>
      </c>
    </row>
    <row r="745" spans="1:6">
      <c r="A745">
        <v>4533</v>
      </c>
      <c r="B745" t="s">
        <v>1605</v>
      </c>
      <c r="C745">
        <v>10</v>
      </c>
      <c r="D745">
        <f>VLOOKUP(A745,收盤價!A:C,3,0)</f>
        <v>11.8</v>
      </c>
      <c r="E745" s="163">
        <v>0.18000000000000008</v>
      </c>
      <c r="F745">
        <v>53</v>
      </c>
    </row>
    <row r="746" spans="1:6">
      <c r="A746">
        <v>8271</v>
      </c>
      <c r="B746" t="s">
        <v>1359</v>
      </c>
      <c r="C746">
        <v>15</v>
      </c>
      <c r="D746">
        <f>VLOOKUP(A746,收盤價!A:C,3,0)</f>
        <v>17.7</v>
      </c>
      <c r="E746" s="163">
        <v>0.17999999999999997</v>
      </c>
      <c r="F746">
        <v>52.93</v>
      </c>
    </row>
    <row r="747" spans="1:6">
      <c r="A747">
        <v>2460</v>
      </c>
      <c r="B747" t="s">
        <v>907</v>
      </c>
      <c r="C747">
        <v>7.51</v>
      </c>
      <c r="D747">
        <f>VLOOKUP(A747,收盤價!A:C,3,0)</f>
        <v>8.86</v>
      </c>
      <c r="E747" s="163">
        <v>0.17976031957390143</v>
      </c>
      <c r="F747">
        <v>52.87</v>
      </c>
    </row>
    <row r="748" spans="1:6">
      <c r="A748">
        <v>3664</v>
      </c>
      <c r="B748" t="s">
        <v>1552</v>
      </c>
      <c r="C748">
        <v>12.8</v>
      </c>
      <c r="D748">
        <f>VLOOKUP(A748,收盤價!A:C,3,0)</f>
        <v>15.1</v>
      </c>
      <c r="E748" s="163">
        <v>0.17968749999999992</v>
      </c>
      <c r="F748">
        <v>52.81</v>
      </c>
    </row>
    <row r="749" spans="1:6">
      <c r="A749">
        <v>3171</v>
      </c>
      <c r="B749" t="s">
        <v>1482</v>
      </c>
      <c r="C749">
        <v>17</v>
      </c>
      <c r="D749">
        <f>VLOOKUP(A749,收盤價!A:C,3,0)</f>
        <v>20.05</v>
      </c>
      <c r="E749" s="163">
        <v>0.17941176470588238</v>
      </c>
      <c r="F749">
        <v>52.74</v>
      </c>
    </row>
    <row r="750" spans="1:6">
      <c r="A750">
        <v>6265</v>
      </c>
      <c r="B750" t="s">
        <v>488</v>
      </c>
      <c r="C750">
        <v>5.69</v>
      </c>
      <c r="D750">
        <f>VLOOKUP(A750,收盤價!A:C,3,0)</f>
        <v>6.71</v>
      </c>
      <c r="E750" s="163">
        <v>0.17926186291739885</v>
      </c>
      <c r="F750">
        <v>52.68</v>
      </c>
    </row>
    <row r="751" spans="1:6">
      <c r="A751">
        <v>4927</v>
      </c>
      <c r="B751" t="s">
        <v>1859</v>
      </c>
      <c r="C751">
        <v>32.65</v>
      </c>
      <c r="D751">
        <f>VLOOKUP(A751,收盤價!A:C,3,0)</f>
        <v>38.5</v>
      </c>
      <c r="E751" s="163">
        <v>0.17917304747320068</v>
      </c>
      <c r="F751">
        <v>52.62</v>
      </c>
    </row>
    <row r="752" spans="1:6">
      <c r="A752">
        <v>4161</v>
      </c>
      <c r="B752" t="s">
        <v>1577</v>
      </c>
      <c r="C752">
        <v>58.1</v>
      </c>
      <c r="D752">
        <f>VLOOKUP(A752,收盤價!A:C,3,0)</f>
        <v>68.5</v>
      </c>
      <c r="E752" s="163">
        <v>0.17900172117039584</v>
      </c>
      <c r="F752">
        <v>52.56</v>
      </c>
    </row>
    <row r="753" spans="1:6">
      <c r="A753">
        <v>1537</v>
      </c>
      <c r="B753" t="s">
        <v>669</v>
      </c>
      <c r="C753">
        <v>109</v>
      </c>
      <c r="D753">
        <f>VLOOKUP(A753,收盤價!A:C,3,0)</f>
        <v>128.5</v>
      </c>
      <c r="E753" s="163">
        <v>0.17889908256880735</v>
      </c>
      <c r="F753">
        <v>52.49</v>
      </c>
    </row>
    <row r="754" spans="1:6">
      <c r="A754">
        <v>6246</v>
      </c>
      <c r="B754" t="s">
        <v>482</v>
      </c>
      <c r="C754">
        <v>2.75</v>
      </c>
      <c r="D754">
        <f>VLOOKUP(A754,收盤價!A:C,3,0)</f>
        <v>3.24</v>
      </c>
      <c r="E754" s="163">
        <v>0.17818181818181825</v>
      </c>
      <c r="F754">
        <v>52.43</v>
      </c>
    </row>
    <row r="755" spans="1:6">
      <c r="A755">
        <v>1463</v>
      </c>
      <c r="B755" t="s">
        <v>629</v>
      </c>
      <c r="C755">
        <v>13.75</v>
      </c>
      <c r="D755">
        <f>VLOOKUP(A755,收盤價!A:C,3,0)</f>
        <v>16.2</v>
      </c>
      <c r="E755" s="163">
        <v>0.17818181818181814</v>
      </c>
      <c r="F755">
        <v>52.37</v>
      </c>
    </row>
    <row r="756" spans="1:6">
      <c r="A756">
        <v>3232</v>
      </c>
      <c r="B756" t="s">
        <v>303</v>
      </c>
      <c r="C756">
        <v>27.85</v>
      </c>
      <c r="D756">
        <f>VLOOKUP(A756,收盤價!A:C,3,0)</f>
        <v>32.799999999999997</v>
      </c>
      <c r="E756" s="163">
        <v>0.17773788150807884</v>
      </c>
      <c r="F756">
        <v>52.3</v>
      </c>
    </row>
    <row r="757" spans="1:6">
      <c r="A757">
        <v>6194</v>
      </c>
      <c r="B757" t="s">
        <v>1739</v>
      </c>
      <c r="C757">
        <v>16.600000000000001</v>
      </c>
      <c r="D757">
        <f>VLOOKUP(A757,收盤價!A:C,3,0)</f>
        <v>19.55</v>
      </c>
      <c r="E757" s="163">
        <v>0.17771084337349391</v>
      </c>
      <c r="F757">
        <v>52.24</v>
      </c>
    </row>
    <row r="758" spans="1:6">
      <c r="A758">
        <v>6147</v>
      </c>
      <c r="B758" t="s">
        <v>1726</v>
      </c>
      <c r="C758">
        <v>40.85</v>
      </c>
      <c r="D758">
        <f>VLOOKUP(A758,收盤價!A:C,3,0)</f>
        <v>48.1</v>
      </c>
      <c r="E758" s="163">
        <v>0.17747858017135862</v>
      </c>
      <c r="F758">
        <v>52.18</v>
      </c>
    </row>
    <row r="759" spans="1:6">
      <c r="A759">
        <v>6208</v>
      </c>
      <c r="B759" t="s">
        <v>1743</v>
      </c>
      <c r="C759">
        <v>9.3000000000000007</v>
      </c>
      <c r="D759">
        <f>VLOOKUP(A759,收盤價!A:C,3,0)</f>
        <v>10.95</v>
      </c>
      <c r="E759" s="163">
        <v>0.17741935483870952</v>
      </c>
      <c r="F759">
        <v>52.11</v>
      </c>
    </row>
    <row r="760" spans="1:6">
      <c r="A760">
        <v>4542</v>
      </c>
      <c r="B760" t="s">
        <v>382</v>
      </c>
      <c r="C760">
        <v>16.649999999999999</v>
      </c>
      <c r="D760">
        <f>VLOOKUP(A760,收盤價!A:C,3,0)</f>
        <v>19.600000000000001</v>
      </c>
      <c r="E760" s="163">
        <v>0.17717717717717738</v>
      </c>
      <c r="F760">
        <v>52.05</v>
      </c>
    </row>
    <row r="761" spans="1:6">
      <c r="A761">
        <v>1231</v>
      </c>
      <c r="B761" t="s">
        <v>563</v>
      </c>
      <c r="C761">
        <v>24</v>
      </c>
      <c r="D761">
        <f>VLOOKUP(A761,收盤價!A:C,3,0)</f>
        <v>28.25</v>
      </c>
      <c r="E761" s="163">
        <v>0.17708333333333334</v>
      </c>
      <c r="F761">
        <v>51.99</v>
      </c>
    </row>
    <row r="762" spans="1:6">
      <c r="A762">
        <v>6155</v>
      </c>
      <c r="B762" t="s">
        <v>1274</v>
      </c>
      <c r="C762">
        <v>15</v>
      </c>
      <c r="D762">
        <f>VLOOKUP(A762,收盤價!A:C,3,0)</f>
        <v>17.649999999999999</v>
      </c>
      <c r="E762" s="163">
        <v>0.17666666666666658</v>
      </c>
      <c r="F762">
        <v>51.92</v>
      </c>
    </row>
    <row r="763" spans="1:6">
      <c r="A763">
        <v>8082</v>
      </c>
      <c r="B763" t="s">
        <v>505</v>
      </c>
      <c r="C763">
        <v>1.87</v>
      </c>
      <c r="D763">
        <f>VLOOKUP(A763,收盤價!A:C,3,0)</f>
        <v>2.2000000000000002</v>
      </c>
      <c r="E763" s="163">
        <v>0.17647058823529416</v>
      </c>
      <c r="F763">
        <v>51.86</v>
      </c>
    </row>
    <row r="764" spans="1:6">
      <c r="A764">
        <v>1809</v>
      </c>
      <c r="B764" t="s">
        <v>736</v>
      </c>
      <c r="C764">
        <v>8.5</v>
      </c>
      <c r="D764">
        <f>VLOOKUP(A764,收盤價!A:C,3,0)</f>
        <v>10</v>
      </c>
      <c r="E764" s="163">
        <v>0.17647058823529413</v>
      </c>
      <c r="F764">
        <v>51.8</v>
      </c>
    </row>
    <row r="765" spans="1:6">
      <c r="A765">
        <v>1472</v>
      </c>
      <c r="B765" t="s">
        <v>638</v>
      </c>
      <c r="C765">
        <v>11.7</v>
      </c>
      <c r="D765">
        <f>VLOOKUP(A765,收盤價!A:C,3,0)</f>
        <v>13.75</v>
      </c>
      <c r="E765" s="163">
        <v>0.17521367521367529</v>
      </c>
      <c r="F765">
        <v>51.74</v>
      </c>
    </row>
    <row r="766" spans="1:6">
      <c r="A766">
        <v>3026</v>
      </c>
      <c r="B766" t="s">
        <v>1063</v>
      </c>
      <c r="C766">
        <v>28</v>
      </c>
      <c r="D766">
        <f>VLOOKUP(A766,收盤價!A:C,3,0)</f>
        <v>32.9</v>
      </c>
      <c r="E766" s="163">
        <v>0.17499999999999996</v>
      </c>
      <c r="F766">
        <v>51.67</v>
      </c>
    </row>
    <row r="767" spans="1:6">
      <c r="A767">
        <v>1795</v>
      </c>
      <c r="B767" t="s">
        <v>1449</v>
      </c>
      <c r="C767">
        <v>58.3</v>
      </c>
      <c r="D767">
        <f>VLOOKUP(A767,收盤價!A:C,3,0)</f>
        <v>68.5</v>
      </c>
      <c r="E767" s="163">
        <v>0.17495711835334482</v>
      </c>
      <c r="F767">
        <v>51.61</v>
      </c>
    </row>
    <row r="768" spans="1:6">
      <c r="A768">
        <v>6278</v>
      </c>
      <c r="B768" t="s">
        <v>1310</v>
      </c>
      <c r="C768">
        <v>25.5</v>
      </c>
      <c r="D768">
        <f>VLOOKUP(A768,收盤價!A:C,3,0)</f>
        <v>29.95</v>
      </c>
      <c r="E768" s="163">
        <v>0.17450980392156859</v>
      </c>
      <c r="F768">
        <v>51.55</v>
      </c>
    </row>
    <row r="769" spans="1:6">
      <c r="A769">
        <v>1714</v>
      </c>
      <c r="B769" t="s">
        <v>706</v>
      </c>
      <c r="C769">
        <v>6.2</v>
      </c>
      <c r="D769">
        <f>VLOOKUP(A769,收盤價!A:C,3,0)</f>
        <v>7.28</v>
      </c>
      <c r="E769" s="163">
        <v>0.17419354838709677</v>
      </c>
      <c r="F769">
        <v>51.48</v>
      </c>
    </row>
    <row r="770" spans="1:6">
      <c r="A770">
        <v>6286</v>
      </c>
      <c r="B770" t="s">
        <v>1315</v>
      </c>
      <c r="C770">
        <v>161</v>
      </c>
      <c r="D770">
        <f>VLOOKUP(A770,收盤價!A:C,3,0)</f>
        <v>189</v>
      </c>
      <c r="E770" s="163">
        <v>0.17391304347826086</v>
      </c>
      <c r="F770">
        <v>51.42</v>
      </c>
    </row>
    <row r="771" spans="1:6">
      <c r="A771">
        <v>4755</v>
      </c>
      <c r="B771" t="s">
        <v>1202</v>
      </c>
      <c r="C771">
        <v>19</v>
      </c>
      <c r="D771">
        <f>VLOOKUP(A771,收盤價!A:C,3,0)</f>
        <v>22.3</v>
      </c>
      <c r="E771" s="163">
        <v>0.17368421052631583</v>
      </c>
      <c r="F771">
        <v>51.36</v>
      </c>
    </row>
    <row r="772" spans="1:6">
      <c r="A772">
        <v>2115</v>
      </c>
      <c r="B772" t="s">
        <v>784</v>
      </c>
      <c r="C772">
        <v>35.700000000000003</v>
      </c>
      <c r="D772">
        <f>VLOOKUP(A772,收盤價!A:C,3,0)</f>
        <v>41.9</v>
      </c>
      <c r="E772" s="163">
        <v>0.1736694677871147</v>
      </c>
      <c r="F772">
        <v>51.29</v>
      </c>
    </row>
    <row r="773" spans="1:6">
      <c r="A773">
        <v>6130</v>
      </c>
      <c r="B773" t="s">
        <v>454</v>
      </c>
      <c r="C773">
        <v>23.65</v>
      </c>
      <c r="D773">
        <f>VLOOKUP(A773,收盤價!A:C,3,0)</f>
        <v>27.75</v>
      </c>
      <c r="E773" s="163">
        <v>0.17336152219873158</v>
      </c>
      <c r="F773">
        <v>51.23</v>
      </c>
    </row>
    <row r="774" spans="1:6">
      <c r="A774">
        <v>2546</v>
      </c>
      <c r="B774" t="s">
        <v>962</v>
      </c>
      <c r="C774">
        <v>12.7</v>
      </c>
      <c r="D774">
        <f>VLOOKUP(A774,收盤價!A:C,3,0)</f>
        <v>14.9</v>
      </c>
      <c r="E774" s="163">
        <v>0.17322834645669299</v>
      </c>
      <c r="F774">
        <v>51.17</v>
      </c>
    </row>
    <row r="775" spans="1:6">
      <c r="A775">
        <v>6206</v>
      </c>
      <c r="B775" t="s">
        <v>1292</v>
      </c>
      <c r="C775">
        <v>81.599999999999994</v>
      </c>
      <c r="D775">
        <f>VLOOKUP(A775,收盤價!A:C,3,0)</f>
        <v>95.7</v>
      </c>
      <c r="E775" s="163">
        <v>0.17279411764705893</v>
      </c>
      <c r="F775">
        <v>51.1</v>
      </c>
    </row>
    <row r="776" spans="1:6">
      <c r="A776">
        <v>3036</v>
      </c>
      <c r="B776" t="s">
        <v>1073</v>
      </c>
      <c r="C776">
        <v>30.1</v>
      </c>
      <c r="D776">
        <f>VLOOKUP(A776,收盤價!A:C,3,0)</f>
        <v>35.299999999999997</v>
      </c>
      <c r="E776" s="163">
        <v>0.17275747508305633</v>
      </c>
      <c r="F776">
        <v>51.04</v>
      </c>
    </row>
    <row r="777" spans="1:6">
      <c r="A777">
        <v>6271</v>
      </c>
      <c r="B777" t="s">
        <v>1308</v>
      </c>
      <c r="C777">
        <v>66.599999999999994</v>
      </c>
      <c r="D777">
        <f>VLOOKUP(A777,收盤價!A:C,3,0)</f>
        <v>78.099999999999994</v>
      </c>
      <c r="E777" s="163">
        <v>0.17267267267267269</v>
      </c>
      <c r="F777">
        <v>50.98</v>
      </c>
    </row>
    <row r="778" spans="1:6">
      <c r="A778">
        <v>3029</v>
      </c>
      <c r="B778" t="s">
        <v>1066</v>
      </c>
      <c r="C778">
        <v>15.35</v>
      </c>
      <c r="D778">
        <f>VLOOKUP(A778,收盤價!A:C,3,0)</f>
        <v>18</v>
      </c>
      <c r="E778" s="163">
        <v>0.17263843648208471</v>
      </c>
      <c r="F778">
        <v>50.91</v>
      </c>
    </row>
    <row r="779" spans="1:6">
      <c r="A779">
        <v>1732</v>
      </c>
      <c r="B779" t="s">
        <v>721</v>
      </c>
      <c r="C779">
        <v>11.05</v>
      </c>
      <c r="D779">
        <f>VLOOKUP(A779,收盤價!A:C,3,0)</f>
        <v>12.95</v>
      </c>
      <c r="E779" s="163">
        <v>0.17194570135746592</v>
      </c>
      <c r="F779">
        <v>50.85</v>
      </c>
    </row>
    <row r="780" spans="1:6">
      <c r="A780">
        <v>6263</v>
      </c>
      <c r="B780" t="s">
        <v>1757</v>
      </c>
      <c r="C780">
        <v>36.799999999999997</v>
      </c>
      <c r="D780">
        <f>VLOOKUP(A780,收盤價!A:C,3,0)</f>
        <v>43.1</v>
      </c>
      <c r="E780" s="163">
        <v>0.17119565217391317</v>
      </c>
      <c r="F780">
        <v>50.79</v>
      </c>
    </row>
    <row r="781" spans="1:6">
      <c r="A781">
        <v>2489</v>
      </c>
      <c r="B781" t="s">
        <v>929</v>
      </c>
      <c r="C781">
        <v>13.55</v>
      </c>
      <c r="D781">
        <f>VLOOKUP(A781,收盤價!A:C,3,0)</f>
        <v>15.85</v>
      </c>
      <c r="E781" s="163">
        <v>0.16974169741697409</v>
      </c>
      <c r="F781">
        <v>50.73</v>
      </c>
    </row>
    <row r="782" spans="1:6">
      <c r="A782">
        <v>1258</v>
      </c>
      <c r="B782" t="s">
        <v>1436</v>
      </c>
      <c r="C782">
        <v>33.35</v>
      </c>
      <c r="D782">
        <f>VLOOKUP(A782,收盤價!A:C,3,0)</f>
        <v>39</v>
      </c>
      <c r="E782" s="163">
        <v>0.16941529235382305</v>
      </c>
      <c r="F782">
        <v>50.66</v>
      </c>
    </row>
    <row r="783" spans="1:6">
      <c r="A783">
        <v>3675</v>
      </c>
      <c r="B783" t="s">
        <v>1553</v>
      </c>
      <c r="C783">
        <v>18.899999999999999</v>
      </c>
      <c r="D783">
        <f>VLOOKUP(A783,收盤價!A:C,3,0)</f>
        <v>22.1</v>
      </c>
      <c r="E783" s="163">
        <v>0.16931216931216947</v>
      </c>
      <c r="F783">
        <v>50.6</v>
      </c>
    </row>
    <row r="784" spans="1:6">
      <c r="A784">
        <v>1506</v>
      </c>
      <c r="B784" t="s">
        <v>646</v>
      </c>
      <c r="C784">
        <v>12.7</v>
      </c>
      <c r="D784">
        <f>VLOOKUP(A784,收盤價!A:C,3,0)</f>
        <v>14.85</v>
      </c>
      <c r="E784" s="163">
        <v>0.1692913385826772</v>
      </c>
      <c r="F784">
        <v>50.54</v>
      </c>
    </row>
    <row r="785" spans="1:6">
      <c r="A785">
        <v>1324</v>
      </c>
      <c r="B785" t="s">
        <v>587</v>
      </c>
      <c r="C785">
        <v>9.75</v>
      </c>
      <c r="D785">
        <f>VLOOKUP(A785,收盤價!A:C,3,0)</f>
        <v>11.4</v>
      </c>
      <c r="E785" s="163">
        <v>0.16923076923076927</v>
      </c>
      <c r="F785">
        <v>50.47</v>
      </c>
    </row>
    <row r="786" spans="1:6">
      <c r="A786">
        <v>3379</v>
      </c>
      <c r="B786" t="s">
        <v>1511</v>
      </c>
      <c r="C786">
        <v>11.6</v>
      </c>
      <c r="D786">
        <f>VLOOKUP(A786,收盤價!A:C,3,0)</f>
        <v>13.55</v>
      </c>
      <c r="E786" s="163">
        <v>0.16810344827586216</v>
      </c>
      <c r="F786">
        <v>50.41</v>
      </c>
    </row>
    <row r="787" spans="1:6">
      <c r="A787">
        <v>6118</v>
      </c>
      <c r="B787" t="s">
        <v>1714</v>
      </c>
      <c r="C787">
        <v>7</v>
      </c>
      <c r="D787">
        <f>VLOOKUP(A787,收盤價!A:C,3,0)</f>
        <v>8.17</v>
      </c>
      <c r="E787" s="163">
        <v>0.16714285714285712</v>
      </c>
      <c r="F787">
        <v>50.35</v>
      </c>
    </row>
    <row r="788" spans="1:6">
      <c r="A788">
        <v>6277</v>
      </c>
      <c r="B788" t="s">
        <v>1309</v>
      </c>
      <c r="C788">
        <v>60</v>
      </c>
      <c r="D788">
        <f>VLOOKUP(A788,收盤價!A:C,3,0)</f>
        <v>70</v>
      </c>
      <c r="E788" s="163">
        <v>0.16666666666666666</v>
      </c>
      <c r="F788">
        <v>50.28</v>
      </c>
    </row>
    <row r="789" spans="1:6">
      <c r="A789">
        <v>1802</v>
      </c>
      <c r="B789" t="s">
        <v>732</v>
      </c>
      <c r="C789">
        <v>10.8</v>
      </c>
      <c r="D789">
        <f>VLOOKUP(A789,收盤價!A:C,3,0)</f>
        <v>12.6</v>
      </c>
      <c r="E789" s="163">
        <v>0.16666666666666655</v>
      </c>
      <c r="F789">
        <v>50.22</v>
      </c>
    </row>
    <row r="790" spans="1:6">
      <c r="A790">
        <v>2301</v>
      </c>
      <c r="B790" t="s">
        <v>794</v>
      </c>
      <c r="C790">
        <v>28</v>
      </c>
      <c r="D790">
        <f>VLOOKUP(A790,收盤價!A:C,3,0)</f>
        <v>32.65</v>
      </c>
      <c r="E790" s="163">
        <v>0.16607142857142851</v>
      </c>
      <c r="F790">
        <v>50.16</v>
      </c>
    </row>
    <row r="791" spans="1:6">
      <c r="A791">
        <v>1409</v>
      </c>
      <c r="B791" t="s">
        <v>595</v>
      </c>
      <c r="C791">
        <v>7.47</v>
      </c>
      <c r="D791">
        <f>VLOOKUP(A791,收盤價!A:C,3,0)</f>
        <v>8.7100000000000009</v>
      </c>
      <c r="E791" s="163">
        <v>0.1659973226238288</v>
      </c>
      <c r="F791">
        <v>50.09</v>
      </c>
    </row>
    <row r="792" spans="1:6">
      <c r="A792">
        <v>1504</v>
      </c>
      <c r="B792" t="s">
        <v>645</v>
      </c>
      <c r="C792">
        <v>22.6</v>
      </c>
      <c r="D792">
        <f>VLOOKUP(A792,收盤價!A:C,3,0)</f>
        <v>26.35</v>
      </c>
      <c r="E792" s="163">
        <v>0.16592920353982299</v>
      </c>
      <c r="F792">
        <v>50.03</v>
      </c>
    </row>
    <row r="793" spans="1:6">
      <c r="A793">
        <v>5487</v>
      </c>
      <c r="B793" t="s">
        <v>439</v>
      </c>
      <c r="C793">
        <v>17.600000000000001</v>
      </c>
      <c r="D793">
        <f>VLOOKUP(A793,收盤價!A:C,3,0)</f>
        <v>20.5</v>
      </c>
      <c r="E793" s="163">
        <v>0.16477272727272718</v>
      </c>
      <c r="F793">
        <v>49.97</v>
      </c>
    </row>
    <row r="794" spans="1:6">
      <c r="A794">
        <v>2539</v>
      </c>
      <c r="B794" t="s">
        <v>957</v>
      </c>
      <c r="C794">
        <v>21.25</v>
      </c>
      <c r="D794">
        <f>VLOOKUP(A794,收盤價!A:C,3,0)</f>
        <v>24.75</v>
      </c>
      <c r="E794" s="163">
        <v>0.16470588235294117</v>
      </c>
      <c r="F794">
        <v>49.91</v>
      </c>
    </row>
    <row r="795" spans="1:6">
      <c r="A795">
        <v>4707</v>
      </c>
      <c r="B795" t="s">
        <v>386</v>
      </c>
      <c r="C795">
        <v>7.3</v>
      </c>
      <c r="D795">
        <f>VLOOKUP(A795,收盤價!A:C,3,0)</f>
        <v>8.5</v>
      </c>
      <c r="E795" s="163">
        <v>0.16438356164383564</v>
      </c>
      <c r="F795">
        <v>49.84</v>
      </c>
    </row>
    <row r="796" spans="1:6">
      <c r="A796">
        <v>1110</v>
      </c>
      <c r="B796" t="s">
        <v>549</v>
      </c>
      <c r="C796">
        <v>13.4</v>
      </c>
      <c r="D796">
        <f>VLOOKUP(A796,收盤價!A:C,3,0)</f>
        <v>15.6</v>
      </c>
      <c r="E796" s="163">
        <v>0.16417910447761189</v>
      </c>
      <c r="F796">
        <v>49.78</v>
      </c>
    </row>
    <row r="797" spans="1:6">
      <c r="A797">
        <v>6226</v>
      </c>
      <c r="B797" t="s">
        <v>1300</v>
      </c>
      <c r="C797">
        <v>5.13</v>
      </c>
      <c r="D797">
        <f>VLOOKUP(A797,收盤價!A:C,3,0)</f>
        <v>5.97</v>
      </c>
      <c r="E797" s="163">
        <v>0.1637426900584795</v>
      </c>
      <c r="F797">
        <v>49.72</v>
      </c>
    </row>
    <row r="798" spans="1:6">
      <c r="A798">
        <v>8070</v>
      </c>
      <c r="B798" t="s">
        <v>1340</v>
      </c>
      <c r="C798">
        <v>73.400000000000006</v>
      </c>
      <c r="D798">
        <f>VLOOKUP(A798,收盤價!A:C,3,0)</f>
        <v>85.4</v>
      </c>
      <c r="E798" s="163">
        <v>0.16348773841961853</v>
      </c>
      <c r="F798">
        <v>49.65</v>
      </c>
    </row>
    <row r="799" spans="1:6">
      <c r="A799">
        <v>3515</v>
      </c>
      <c r="B799" t="s">
        <v>1135</v>
      </c>
      <c r="C799">
        <v>34.299999999999997</v>
      </c>
      <c r="D799">
        <f>VLOOKUP(A799,收盤價!A:C,3,0)</f>
        <v>39.9</v>
      </c>
      <c r="E799" s="163">
        <v>0.16326530612244902</v>
      </c>
      <c r="F799">
        <v>49.59</v>
      </c>
    </row>
    <row r="800" spans="1:6">
      <c r="A800">
        <v>1519</v>
      </c>
      <c r="B800" t="s">
        <v>654</v>
      </c>
      <c r="C800">
        <v>13.5</v>
      </c>
      <c r="D800">
        <f>VLOOKUP(A800,收盤價!A:C,3,0)</f>
        <v>15.7</v>
      </c>
      <c r="E800" s="163">
        <v>0.16296296296296292</v>
      </c>
      <c r="F800">
        <v>49.53</v>
      </c>
    </row>
    <row r="801" spans="1:6">
      <c r="A801">
        <v>6431</v>
      </c>
      <c r="B801" t="s">
        <v>1323</v>
      </c>
      <c r="C801">
        <v>8.6</v>
      </c>
      <c r="D801">
        <f>VLOOKUP(A801,收盤價!A:C,3,0)</f>
        <v>10</v>
      </c>
      <c r="E801" s="163">
        <v>0.16279069767441864</v>
      </c>
      <c r="F801">
        <v>49.46</v>
      </c>
    </row>
    <row r="802" spans="1:6">
      <c r="A802">
        <v>6141</v>
      </c>
      <c r="B802" t="s">
        <v>1269</v>
      </c>
      <c r="C802">
        <v>7.92</v>
      </c>
      <c r="D802">
        <f>VLOOKUP(A802,收盤價!A:C,3,0)</f>
        <v>9.1999999999999993</v>
      </c>
      <c r="E802" s="163">
        <v>0.16161616161616155</v>
      </c>
      <c r="F802">
        <v>49.4</v>
      </c>
    </row>
    <row r="803" spans="1:6">
      <c r="A803">
        <v>2916</v>
      </c>
      <c r="B803" t="s">
        <v>1462</v>
      </c>
      <c r="C803">
        <v>15.5</v>
      </c>
      <c r="D803">
        <f>VLOOKUP(A803,收盤價!A:C,3,0)</f>
        <v>18</v>
      </c>
      <c r="E803" s="163">
        <v>0.16129032258064516</v>
      </c>
      <c r="F803">
        <v>49.34</v>
      </c>
    </row>
    <row r="804" spans="1:6">
      <c r="A804">
        <v>8429</v>
      </c>
      <c r="B804" t="s">
        <v>1366</v>
      </c>
      <c r="C804">
        <v>49.95</v>
      </c>
      <c r="D804">
        <f>VLOOKUP(A804,收盤價!A:C,3,0)</f>
        <v>58</v>
      </c>
      <c r="E804" s="163">
        <v>0.16116116116116108</v>
      </c>
      <c r="F804">
        <v>49.27</v>
      </c>
    </row>
    <row r="805" spans="1:6">
      <c r="A805">
        <v>2477</v>
      </c>
      <c r="B805" t="s">
        <v>919</v>
      </c>
      <c r="C805">
        <v>10.25</v>
      </c>
      <c r="D805">
        <f>VLOOKUP(A805,收盤價!A:C,3,0)</f>
        <v>11.9</v>
      </c>
      <c r="E805" s="163">
        <v>0.16097560975609759</v>
      </c>
      <c r="F805">
        <v>49.21</v>
      </c>
    </row>
    <row r="806" spans="1:6">
      <c r="A806">
        <v>6251</v>
      </c>
      <c r="B806" t="s">
        <v>1305</v>
      </c>
      <c r="C806">
        <v>8.08</v>
      </c>
      <c r="D806">
        <f>VLOOKUP(A806,收盤價!A:C,3,0)</f>
        <v>9.3800000000000008</v>
      </c>
      <c r="E806" s="163">
        <v>0.16089108910891098</v>
      </c>
      <c r="F806">
        <v>49.15</v>
      </c>
    </row>
    <row r="807" spans="1:6">
      <c r="A807">
        <v>1314</v>
      </c>
      <c r="B807" t="s">
        <v>581</v>
      </c>
      <c r="C807">
        <v>6.97</v>
      </c>
      <c r="D807">
        <f>VLOOKUP(A807,收盤價!A:C,3,0)</f>
        <v>8.09</v>
      </c>
      <c r="E807" s="163">
        <v>0.16068866571018653</v>
      </c>
      <c r="F807">
        <v>49.09</v>
      </c>
    </row>
    <row r="808" spans="1:6">
      <c r="A808">
        <v>1613</v>
      </c>
      <c r="B808" t="s">
        <v>689</v>
      </c>
      <c r="C808">
        <v>2.62</v>
      </c>
      <c r="D808">
        <f>VLOOKUP(A808,收盤價!A:C,3,0)</f>
        <v>3.04</v>
      </c>
      <c r="E808" s="163">
        <v>0.16030534351145034</v>
      </c>
      <c r="F808">
        <v>49.02</v>
      </c>
    </row>
    <row r="809" spans="1:6">
      <c r="A809">
        <v>3593</v>
      </c>
      <c r="B809" t="s">
        <v>1154</v>
      </c>
      <c r="C809">
        <v>7.3</v>
      </c>
      <c r="D809">
        <f>VLOOKUP(A809,收盤價!A:C,3,0)</f>
        <v>8.4700000000000006</v>
      </c>
      <c r="E809" s="163">
        <v>0.16027397260273984</v>
      </c>
      <c r="F809">
        <v>48.96</v>
      </c>
    </row>
    <row r="810" spans="1:6">
      <c r="A810">
        <v>3021</v>
      </c>
      <c r="B810" t="s">
        <v>1058</v>
      </c>
      <c r="C810">
        <v>10.35</v>
      </c>
      <c r="D810">
        <f>VLOOKUP(A810,收盤價!A:C,3,0)</f>
        <v>12</v>
      </c>
      <c r="E810" s="163">
        <v>0.15942028985507251</v>
      </c>
      <c r="F810">
        <v>48.9</v>
      </c>
    </row>
    <row r="811" spans="1:6">
      <c r="A811">
        <v>2707</v>
      </c>
      <c r="B811" t="s">
        <v>990</v>
      </c>
      <c r="C811">
        <v>194.5</v>
      </c>
      <c r="D811">
        <f>VLOOKUP(A811,收盤價!A:C,3,0)</f>
        <v>225.5</v>
      </c>
      <c r="E811" s="163">
        <v>0.15938303341902313</v>
      </c>
      <c r="F811">
        <v>48.83</v>
      </c>
    </row>
    <row r="812" spans="1:6">
      <c r="A812">
        <v>9907</v>
      </c>
      <c r="B812" t="s">
        <v>1401</v>
      </c>
      <c r="C812">
        <v>13.6</v>
      </c>
      <c r="D812">
        <f>VLOOKUP(A812,收盤價!A:C,3,0)</f>
        <v>15.75</v>
      </c>
      <c r="E812" s="163">
        <v>0.15808823529411767</v>
      </c>
      <c r="F812">
        <v>48.77</v>
      </c>
    </row>
    <row r="813" spans="1:6">
      <c r="A813">
        <v>4995</v>
      </c>
      <c r="B813" t="s">
        <v>1634</v>
      </c>
      <c r="C813">
        <v>34.950000000000003</v>
      </c>
      <c r="D813">
        <f>VLOOKUP(A813,收盤價!A:C,3,0)</f>
        <v>40.450000000000003</v>
      </c>
      <c r="E813" s="163">
        <v>0.15736766809728181</v>
      </c>
      <c r="F813">
        <v>48.71</v>
      </c>
    </row>
    <row r="814" spans="1:6">
      <c r="A814">
        <v>2505</v>
      </c>
      <c r="B814" t="s">
        <v>940</v>
      </c>
      <c r="C814">
        <v>9.2899999999999991</v>
      </c>
      <c r="D814">
        <f>VLOOKUP(A814,收盤價!A:C,3,0)</f>
        <v>10.75</v>
      </c>
      <c r="E814" s="163">
        <v>0.15715823466092582</v>
      </c>
      <c r="F814">
        <v>48.64</v>
      </c>
    </row>
    <row r="815" spans="1:6">
      <c r="A815">
        <v>6449</v>
      </c>
      <c r="B815" t="s">
        <v>1326</v>
      </c>
      <c r="C815">
        <v>24.9</v>
      </c>
      <c r="D815">
        <f>VLOOKUP(A815,收盤價!A:C,3,0)</f>
        <v>28.8</v>
      </c>
      <c r="E815" s="163">
        <v>0.15662650602409647</v>
      </c>
      <c r="F815">
        <v>48.58</v>
      </c>
    </row>
    <row r="816" spans="1:6">
      <c r="A816">
        <v>4706</v>
      </c>
      <c r="B816" t="s">
        <v>1610</v>
      </c>
      <c r="C816">
        <v>13.1</v>
      </c>
      <c r="D816">
        <f>VLOOKUP(A816,收盤價!A:C,3,0)</f>
        <v>15.15</v>
      </c>
      <c r="E816" s="163">
        <v>0.15648854961832068</v>
      </c>
      <c r="F816">
        <v>48.52</v>
      </c>
    </row>
    <row r="817" spans="1:6">
      <c r="A817">
        <v>8111</v>
      </c>
      <c r="B817" t="s">
        <v>1804</v>
      </c>
      <c r="C817">
        <v>3.53</v>
      </c>
      <c r="D817">
        <f>VLOOKUP(A817,收盤價!A:C,3,0)</f>
        <v>4.08</v>
      </c>
      <c r="E817" s="163">
        <v>0.15580736543909357</v>
      </c>
      <c r="F817">
        <v>48.45</v>
      </c>
    </row>
    <row r="818" spans="1:6">
      <c r="A818">
        <v>4103</v>
      </c>
      <c r="B818" t="s">
        <v>1560</v>
      </c>
      <c r="C818">
        <v>75.099999999999994</v>
      </c>
      <c r="D818">
        <f>VLOOKUP(A818,收盤價!A:C,3,0)</f>
        <v>86.8</v>
      </c>
      <c r="E818" s="163">
        <v>0.15579227696404799</v>
      </c>
      <c r="F818">
        <v>48.39</v>
      </c>
    </row>
    <row r="819" spans="1:6">
      <c r="A819">
        <v>2061</v>
      </c>
      <c r="B819" t="s">
        <v>273</v>
      </c>
      <c r="C819">
        <v>10.6</v>
      </c>
      <c r="D819">
        <f>VLOOKUP(A819,收盤價!A:C,3,0)</f>
        <v>12.25</v>
      </c>
      <c r="E819" s="163">
        <v>0.15566037735849061</v>
      </c>
      <c r="F819">
        <v>48.33</v>
      </c>
    </row>
    <row r="820" spans="1:6">
      <c r="A820">
        <v>9914</v>
      </c>
      <c r="B820" t="s">
        <v>1406</v>
      </c>
      <c r="C820">
        <v>151.5</v>
      </c>
      <c r="D820">
        <f>VLOOKUP(A820,收盤價!A:C,3,0)</f>
        <v>175</v>
      </c>
      <c r="E820" s="163">
        <v>0.15511551155115511</v>
      </c>
      <c r="F820">
        <v>48.26</v>
      </c>
    </row>
    <row r="821" spans="1:6">
      <c r="A821">
        <v>2358</v>
      </c>
      <c r="B821" t="s">
        <v>831</v>
      </c>
      <c r="C821">
        <v>7.61</v>
      </c>
      <c r="D821">
        <f>VLOOKUP(A821,收盤價!A:C,3,0)</f>
        <v>8.7899999999999991</v>
      </c>
      <c r="E821" s="163">
        <v>0.15505913272010496</v>
      </c>
      <c r="F821">
        <v>48.2</v>
      </c>
    </row>
    <row r="822" spans="1:6">
      <c r="A822">
        <v>5484</v>
      </c>
      <c r="B822" t="s">
        <v>1240</v>
      </c>
      <c r="C822">
        <v>3.55</v>
      </c>
      <c r="D822">
        <f>VLOOKUP(A822,收盤價!A:C,3,0)</f>
        <v>4.0999999999999996</v>
      </c>
      <c r="E822" s="163">
        <v>0.15492957746478869</v>
      </c>
      <c r="F822">
        <v>48.14</v>
      </c>
    </row>
    <row r="823" spans="1:6">
      <c r="A823">
        <v>3288</v>
      </c>
      <c r="B823" t="s">
        <v>1498</v>
      </c>
      <c r="C823">
        <v>5.81</v>
      </c>
      <c r="D823">
        <f>VLOOKUP(A823,收盤價!A:C,3,0)</f>
        <v>6.71</v>
      </c>
      <c r="E823" s="163">
        <v>0.15490533562822725</v>
      </c>
      <c r="F823">
        <v>48.08</v>
      </c>
    </row>
    <row r="824" spans="1:6">
      <c r="A824">
        <v>4739</v>
      </c>
      <c r="B824" t="s">
        <v>1615</v>
      </c>
      <c r="C824">
        <v>34.950000000000003</v>
      </c>
      <c r="D824">
        <f>VLOOKUP(A824,收盤價!A:C,3,0)</f>
        <v>40.35</v>
      </c>
      <c r="E824" s="163">
        <v>0.1545064377682403</v>
      </c>
      <c r="F824">
        <v>48.01</v>
      </c>
    </row>
    <row r="825" spans="1:6">
      <c r="A825">
        <v>3556</v>
      </c>
      <c r="B825" t="s">
        <v>344</v>
      </c>
      <c r="C825">
        <v>45.65</v>
      </c>
      <c r="D825">
        <f>VLOOKUP(A825,收盤價!A:C,3,0)</f>
        <v>52.7</v>
      </c>
      <c r="E825" s="163">
        <v>0.15443592552026297</v>
      </c>
      <c r="F825">
        <v>47.95</v>
      </c>
    </row>
    <row r="826" spans="1:6">
      <c r="A826">
        <v>2702</v>
      </c>
      <c r="B826" t="s">
        <v>986</v>
      </c>
      <c r="C826">
        <v>13.6</v>
      </c>
      <c r="D826">
        <f>VLOOKUP(A826,收盤價!A:C,3,0)</f>
        <v>15.7</v>
      </c>
      <c r="E826" s="163">
        <v>0.15441176470588233</v>
      </c>
      <c r="F826">
        <v>47.89</v>
      </c>
    </row>
    <row r="827" spans="1:6">
      <c r="A827">
        <v>2634</v>
      </c>
      <c r="B827" t="s">
        <v>982</v>
      </c>
      <c r="C827">
        <v>34.799999999999997</v>
      </c>
      <c r="D827">
        <f>VLOOKUP(A827,收盤價!A:C,3,0)</f>
        <v>40.1</v>
      </c>
      <c r="E827" s="163">
        <v>0.15229885057471279</v>
      </c>
      <c r="F827">
        <v>47.82</v>
      </c>
    </row>
    <row r="828" spans="1:6">
      <c r="A828">
        <v>2059</v>
      </c>
      <c r="B828" t="s">
        <v>772</v>
      </c>
      <c r="C828">
        <v>364.5</v>
      </c>
      <c r="D828">
        <f>VLOOKUP(A828,收盤價!A:C,3,0)</f>
        <v>420</v>
      </c>
      <c r="E828" s="163">
        <v>0.15226337448559671</v>
      </c>
      <c r="F828">
        <v>47.76</v>
      </c>
    </row>
    <row r="829" spans="1:6">
      <c r="A829">
        <v>5347</v>
      </c>
      <c r="B829" t="s">
        <v>423</v>
      </c>
      <c r="C829">
        <v>37.450000000000003</v>
      </c>
      <c r="D829">
        <f>VLOOKUP(A829,收盤價!A:C,3,0)</f>
        <v>43.15</v>
      </c>
      <c r="E829" s="163">
        <v>0.1522029372496661</v>
      </c>
      <c r="F829">
        <v>47.7</v>
      </c>
    </row>
    <row r="830" spans="1:6">
      <c r="A830">
        <v>2548</v>
      </c>
      <c r="B830" t="s">
        <v>964</v>
      </c>
      <c r="C830">
        <v>49.3</v>
      </c>
      <c r="D830">
        <f>VLOOKUP(A830,收盤價!A:C,3,0)</f>
        <v>56.8</v>
      </c>
      <c r="E830" s="163">
        <v>0.15212981744421908</v>
      </c>
      <c r="F830">
        <v>47.63</v>
      </c>
    </row>
    <row r="831" spans="1:6">
      <c r="A831">
        <v>1517</v>
      </c>
      <c r="B831" t="s">
        <v>653</v>
      </c>
      <c r="C831">
        <v>9.94</v>
      </c>
      <c r="D831">
        <f>VLOOKUP(A831,收盤價!A:C,3,0)</f>
        <v>11.45</v>
      </c>
      <c r="E831" s="163">
        <v>0.15191146881287726</v>
      </c>
      <c r="F831">
        <v>47.57</v>
      </c>
    </row>
    <row r="832" spans="1:6">
      <c r="A832">
        <v>8084</v>
      </c>
      <c r="B832" t="s">
        <v>1795</v>
      </c>
      <c r="C832">
        <v>20.45</v>
      </c>
      <c r="D832">
        <f>VLOOKUP(A832,收盤價!A:C,3,0)</f>
        <v>23.55</v>
      </c>
      <c r="E832" s="163">
        <v>0.15158924205378982</v>
      </c>
      <c r="F832">
        <v>47.51</v>
      </c>
    </row>
    <row r="833" spans="1:6">
      <c r="A833">
        <v>4432</v>
      </c>
      <c r="B833" t="s">
        <v>1595</v>
      </c>
      <c r="C833">
        <v>63.5</v>
      </c>
      <c r="D833">
        <f>VLOOKUP(A833,收盤價!A:C,3,0)</f>
        <v>73.099999999999994</v>
      </c>
      <c r="E833" s="163">
        <v>0.15118110236220464</v>
      </c>
      <c r="F833">
        <v>47.44</v>
      </c>
    </row>
    <row r="834" spans="1:6">
      <c r="A834">
        <v>6292</v>
      </c>
      <c r="B834" t="s">
        <v>1765</v>
      </c>
      <c r="C834">
        <v>24.25</v>
      </c>
      <c r="D834">
        <f>VLOOKUP(A834,收盤價!A:C,3,0)</f>
        <v>27.9</v>
      </c>
      <c r="E834" s="163">
        <v>0.15051546391752571</v>
      </c>
      <c r="F834">
        <v>47.38</v>
      </c>
    </row>
    <row r="835" spans="1:6">
      <c r="A835">
        <v>9925</v>
      </c>
      <c r="B835" t="s">
        <v>1412</v>
      </c>
      <c r="C835">
        <v>33.9</v>
      </c>
      <c r="D835">
        <f>VLOOKUP(A835,收盤價!A:C,3,0)</f>
        <v>39</v>
      </c>
      <c r="E835" s="163">
        <v>0.15044247787610623</v>
      </c>
      <c r="F835">
        <v>47.32</v>
      </c>
    </row>
    <row r="836" spans="1:6">
      <c r="A836">
        <v>2365</v>
      </c>
      <c r="B836" t="s">
        <v>838</v>
      </c>
      <c r="C836">
        <v>7.92</v>
      </c>
      <c r="D836">
        <f>VLOOKUP(A836,收盤價!A:C,3,0)</f>
        <v>9.11</v>
      </c>
      <c r="E836" s="163">
        <v>0.15025252525252519</v>
      </c>
      <c r="F836">
        <v>47.26</v>
      </c>
    </row>
    <row r="837" spans="1:6">
      <c r="A837">
        <v>2607</v>
      </c>
      <c r="B837" t="s">
        <v>970</v>
      </c>
      <c r="C837">
        <v>12</v>
      </c>
      <c r="D837">
        <f>VLOOKUP(A837,收盤價!A:C,3,0)</f>
        <v>13.8</v>
      </c>
      <c r="E837" s="163">
        <v>0.15000000000000005</v>
      </c>
      <c r="F837">
        <v>47.19</v>
      </c>
    </row>
    <row r="838" spans="1:6">
      <c r="A838">
        <v>6146</v>
      </c>
      <c r="B838" t="s">
        <v>455</v>
      </c>
      <c r="C838">
        <v>180</v>
      </c>
      <c r="D838">
        <f>VLOOKUP(A838,收盤價!A:C,3,0)</f>
        <v>207</v>
      </c>
      <c r="E838" s="163">
        <v>0.15</v>
      </c>
      <c r="F838">
        <v>47.13</v>
      </c>
    </row>
    <row r="839" spans="1:6">
      <c r="A839">
        <v>4198</v>
      </c>
      <c r="B839" t="s">
        <v>375</v>
      </c>
      <c r="C839">
        <v>30</v>
      </c>
      <c r="D839">
        <f>VLOOKUP(A839,收盤價!A:C,3,0)</f>
        <v>34.5</v>
      </c>
      <c r="E839" s="163">
        <v>0.15</v>
      </c>
      <c r="F839">
        <v>47.07</v>
      </c>
    </row>
    <row r="840" spans="1:6">
      <c r="A840">
        <v>2103</v>
      </c>
      <c r="B840" t="s">
        <v>776</v>
      </c>
      <c r="C840">
        <v>18</v>
      </c>
      <c r="D840">
        <f>VLOOKUP(A840,收盤價!A:C,3,0)</f>
        <v>20.7</v>
      </c>
      <c r="E840" s="163">
        <v>0.14999999999999997</v>
      </c>
      <c r="F840">
        <v>47</v>
      </c>
    </row>
    <row r="841" spans="1:6">
      <c r="A841">
        <v>2362</v>
      </c>
      <c r="B841" t="s">
        <v>835</v>
      </c>
      <c r="C841">
        <v>27.35</v>
      </c>
      <c r="D841">
        <f>VLOOKUP(A841,收盤價!A:C,3,0)</f>
        <v>31.45</v>
      </c>
      <c r="E841" s="163">
        <v>0.14990859232175494</v>
      </c>
      <c r="F841">
        <v>46.94</v>
      </c>
    </row>
    <row r="842" spans="1:6">
      <c r="A842">
        <v>2012</v>
      </c>
      <c r="B842" t="s">
        <v>752</v>
      </c>
      <c r="C842">
        <v>12.4</v>
      </c>
      <c r="D842">
        <f>VLOOKUP(A842,收盤價!A:C,3,0)</f>
        <v>14.25</v>
      </c>
      <c r="E842" s="163">
        <v>0.14919354838709675</v>
      </c>
      <c r="F842">
        <v>46.88</v>
      </c>
    </row>
    <row r="843" spans="1:6">
      <c r="A843">
        <v>2359</v>
      </c>
      <c r="B843" t="s">
        <v>832</v>
      </c>
      <c r="C843">
        <v>13.45</v>
      </c>
      <c r="D843">
        <f>VLOOKUP(A843,收盤價!A:C,3,0)</f>
        <v>15.45</v>
      </c>
      <c r="E843" s="163">
        <v>0.14869888475836432</v>
      </c>
      <c r="F843">
        <v>46.81</v>
      </c>
    </row>
    <row r="844" spans="1:6">
      <c r="A844">
        <v>3093</v>
      </c>
      <c r="B844" t="s">
        <v>289</v>
      </c>
      <c r="C844">
        <v>24.9</v>
      </c>
      <c r="D844">
        <f>VLOOKUP(A844,收盤價!A:C,3,0)</f>
        <v>28.6</v>
      </c>
      <c r="E844" s="163">
        <v>0.14859437751004029</v>
      </c>
      <c r="F844">
        <v>46.75</v>
      </c>
    </row>
    <row r="845" spans="1:6">
      <c r="A845">
        <v>2414</v>
      </c>
      <c r="B845" t="s">
        <v>870</v>
      </c>
      <c r="C845">
        <v>13.8</v>
      </c>
      <c r="D845">
        <f>VLOOKUP(A845,收盤價!A:C,3,0)</f>
        <v>15.85</v>
      </c>
      <c r="E845" s="163">
        <v>0.14855072463768107</v>
      </c>
      <c r="F845">
        <v>46.69</v>
      </c>
    </row>
    <row r="846" spans="1:6">
      <c r="A846">
        <v>2329</v>
      </c>
      <c r="B846" t="s">
        <v>811</v>
      </c>
      <c r="C846">
        <v>10.1</v>
      </c>
      <c r="D846">
        <f>VLOOKUP(A846,收盤價!A:C,3,0)</f>
        <v>11.6</v>
      </c>
      <c r="E846" s="163">
        <v>0.14851485148514851</v>
      </c>
      <c r="F846">
        <v>46.62</v>
      </c>
    </row>
    <row r="847" spans="1:6">
      <c r="A847">
        <v>2459</v>
      </c>
      <c r="B847" t="s">
        <v>906</v>
      </c>
      <c r="C847">
        <v>27.95</v>
      </c>
      <c r="D847">
        <f>VLOOKUP(A847,收盤價!A:C,3,0)</f>
        <v>32.1</v>
      </c>
      <c r="E847" s="163">
        <v>0.14847942754919508</v>
      </c>
      <c r="F847">
        <v>46.56</v>
      </c>
    </row>
    <row r="848" spans="1:6">
      <c r="A848">
        <v>5230</v>
      </c>
      <c r="B848" t="s">
        <v>408</v>
      </c>
      <c r="C848">
        <v>43.8</v>
      </c>
      <c r="D848">
        <f>VLOOKUP(A848,收盤價!A:C,3,0)</f>
        <v>50.3</v>
      </c>
      <c r="E848" s="163">
        <v>0.14840182648401828</v>
      </c>
      <c r="F848">
        <v>46.5</v>
      </c>
    </row>
    <row r="849" spans="1:6">
      <c r="A849">
        <v>1590</v>
      </c>
      <c r="B849" t="s">
        <v>680</v>
      </c>
      <c r="C849">
        <v>135</v>
      </c>
      <c r="D849">
        <f>VLOOKUP(A849,收盤價!A:C,3,0)</f>
        <v>155</v>
      </c>
      <c r="E849" s="163">
        <v>0.14814814814814814</v>
      </c>
      <c r="F849">
        <v>46.44</v>
      </c>
    </row>
    <row r="850" spans="1:6">
      <c r="A850">
        <v>6126</v>
      </c>
      <c r="B850" t="s">
        <v>1718</v>
      </c>
      <c r="C850">
        <v>7.5</v>
      </c>
      <c r="D850">
        <f>VLOOKUP(A850,收盤價!A:C,3,0)</f>
        <v>8.61</v>
      </c>
      <c r="E850" s="163">
        <v>0.14799999999999994</v>
      </c>
      <c r="F850">
        <v>46.37</v>
      </c>
    </row>
    <row r="851" spans="1:6">
      <c r="A851">
        <v>2013</v>
      </c>
      <c r="B851" t="s">
        <v>753</v>
      </c>
      <c r="C851">
        <v>16.899999999999999</v>
      </c>
      <c r="D851">
        <f>VLOOKUP(A851,收盤價!A:C,3,0)</f>
        <v>19.399999999999999</v>
      </c>
      <c r="E851" s="163">
        <v>0.14792899408284024</v>
      </c>
      <c r="F851">
        <v>46.31</v>
      </c>
    </row>
    <row r="852" spans="1:6">
      <c r="A852">
        <v>1213</v>
      </c>
      <c r="B852" t="s">
        <v>553</v>
      </c>
      <c r="C852">
        <v>13.2</v>
      </c>
      <c r="D852">
        <f>VLOOKUP(A852,收盤價!A:C,3,0)</f>
        <v>15.15</v>
      </c>
      <c r="E852" s="163">
        <v>0.14772727272727282</v>
      </c>
      <c r="F852">
        <v>46.25</v>
      </c>
    </row>
    <row r="853" spans="1:6">
      <c r="A853">
        <v>1717</v>
      </c>
      <c r="B853" t="s">
        <v>708</v>
      </c>
      <c r="C853">
        <v>27.8</v>
      </c>
      <c r="D853">
        <f>VLOOKUP(A853,收盤價!A:C,3,0)</f>
        <v>31.9</v>
      </c>
      <c r="E853" s="163">
        <v>0.14748201438848912</v>
      </c>
      <c r="F853">
        <v>46.18</v>
      </c>
    </row>
    <row r="854" spans="1:6">
      <c r="A854">
        <v>5278</v>
      </c>
      <c r="B854" t="s">
        <v>413</v>
      </c>
      <c r="C854">
        <v>22.5</v>
      </c>
      <c r="D854">
        <f>VLOOKUP(A854,收盤價!A:C,3,0)</f>
        <v>25.8</v>
      </c>
      <c r="E854" s="163">
        <v>0.1466666666666667</v>
      </c>
      <c r="F854">
        <v>46.12</v>
      </c>
    </row>
    <row r="855" spans="1:6">
      <c r="A855">
        <v>2537</v>
      </c>
      <c r="B855" t="s">
        <v>955</v>
      </c>
      <c r="C855">
        <v>7.5</v>
      </c>
      <c r="D855">
        <f>VLOOKUP(A855,收盤價!A:C,3,0)</f>
        <v>8.6</v>
      </c>
      <c r="E855" s="163">
        <v>0.14666666666666661</v>
      </c>
      <c r="F855">
        <v>46.06</v>
      </c>
    </row>
    <row r="856" spans="1:6">
      <c r="A856">
        <v>2449</v>
      </c>
      <c r="B856" t="s">
        <v>897</v>
      </c>
      <c r="C856">
        <v>19.100000000000001</v>
      </c>
      <c r="D856">
        <f>VLOOKUP(A856,收盤價!A:C,3,0)</f>
        <v>21.9</v>
      </c>
      <c r="E856" s="163">
        <v>0.1465968586387433</v>
      </c>
      <c r="F856">
        <v>45.99</v>
      </c>
    </row>
    <row r="857" spans="1:6">
      <c r="A857">
        <v>1723</v>
      </c>
      <c r="B857" t="s">
        <v>713</v>
      </c>
      <c r="C857">
        <v>91.6</v>
      </c>
      <c r="D857">
        <f>VLOOKUP(A857,收盤價!A:C,3,0)</f>
        <v>105</v>
      </c>
      <c r="E857" s="163">
        <v>0.14628820960698696</v>
      </c>
      <c r="F857">
        <v>45.93</v>
      </c>
    </row>
    <row r="858" spans="1:6">
      <c r="A858">
        <v>5210</v>
      </c>
      <c r="B858" t="s">
        <v>406</v>
      </c>
      <c r="C858">
        <v>5.82</v>
      </c>
      <c r="D858">
        <f>VLOOKUP(A858,收盤價!A:C,3,0)</f>
        <v>6.67</v>
      </c>
      <c r="E858" s="163">
        <v>0.14604810996563566</v>
      </c>
      <c r="F858">
        <v>45.87</v>
      </c>
    </row>
    <row r="859" spans="1:6">
      <c r="A859">
        <v>8926</v>
      </c>
      <c r="B859" t="s">
        <v>1370</v>
      </c>
      <c r="C859">
        <v>20.2</v>
      </c>
      <c r="D859">
        <f>VLOOKUP(A859,收盤價!A:C,3,0)</f>
        <v>23.15</v>
      </c>
      <c r="E859" s="163">
        <v>0.146039603960396</v>
      </c>
      <c r="F859">
        <v>45.8</v>
      </c>
    </row>
    <row r="860" spans="1:6">
      <c r="A860">
        <v>3005</v>
      </c>
      <c r="B860" t="s">
        <v>1047</v>
      </c>
      <c r="C860">
        <v>17.5</v>
      </c>
      <c r="D860">
        <f>VLOOKUP(A860,收盤價!A:C,3,0)</f>
        <v>20.05</v>
      </c>
      <c r="E860" s="163">
        <v>0.14571428571428577</v>
      </c>
      <c r="F860">
        <v>45.74</v>
      </c>
    </row>
    <row r="861" spans="1:6">
      <c r="A861">
        <v>8048</v>
      </c>
      <c r="B861" t="s">
        <v>1783</v>
      </c>
      <c r="C861">
        <v>37.75</v>
      </c>
      <c r="D861">
        <f>VLOOKUP(A861,收盤價!A:C,3,0)</f>
        <v>43.25</v>
      </c>
      <c r="E861" s="163">
        <v>0.14569536423841059</v>
      </c>
      <c r="F861">
        <v>45.68</v>
      </c>
    </row>
    <row r="862" spans="1:6">
      <c r="A862">
        <v>9902</v>
      </c>
      <c r="B862" t="s">
        <v>1397</v>
      </c>
      <c r="C862">
        <v>8.73</v>
      </c>
      <c r="D862">
        <f>VLOOKUP(A862,收盤價!A:C,3,0)</f>
        <v>10</v>
      </c>
      <c r="E862" s="163">
        <v>0.14547537227949595</v>
      </c>
      <c r="F862">
        <v>45.62</v>
      </c>
    </row>
    <row r="863" spans="1:6">
      <c r="A863">
        <v>3332</v>
      </c>
      <c r="B863" t="s">
        <v>319</v>
      </c>
      <c r="C863">
        <v>33</v>
      </c>
      <c r="D863">
        <f>VLOOKUP(A863,收盤價!A:C,3,0)</f>
        <v>37.799999999999997</v>
      </c>
      <c r="E863" s="163">
        <v>0.14545454545454536</v>
      </c>
      <c r="F863">
        <v>45.55</v>
      </c>
    </row>
    <row r="864" spans="1:6">
      <c r="A864">
        <v>2719</v>
      </c>
      <c r="B864" t="s">
        <v>281</v>
      </c>
      <c r="C864">
        <v>14.85</v>
      </c>
      <c r="D864">
        <f>VLOOKUP(A864,收盤價!A:C,3,0)</f>
        <v>17</v>
      </c>
      <c r="E864" s="163">
        <v>0.14478114478114482</v>
      </c>
      <c r="F864">
        <v>45.49</v>
      </c>
    </row>
    <row r="865" spans="1:6">
      <c r="A865">
        <v>1722</v>
      </c>
      <c r="B865" t="s">
        <v>712</v>
      </c>
      <c r="C865">
        <v>37.299999999999997</v>
      </c>
      <c r="D865">
        <f>VLOOKUP(A865,收盤價!A:C,3,0)</f>
        <v>42.7</v>
      </c>
      <c r="E865" s="163">
        <v>0.14477211796246664</v>
      </c>
      <c r="F865">
        <v>45.43</v>
      </c>
    </row>
    <row r="866" spans="1:6">
      <c r="A866">
        <v>6270</v>
      </c>
      <c r="B866" t="s">
        <v>1759</v>
      </c>
      <c r="C866">
        <v>9.09</v>
      </c>
      <c r="D866">
        <f>VLOOKUP(A866,收盤價!A:C,3,0)</f>
        <v>10.4</v>
      </c>
      <c r="E866" s="163">
        <v>0.14411441144114417</v>
      </c>
      <c r="F866">
        <v>45.36</v>
      </c>
    </row>
    <row r="867" spans="1:6">
      <c r="A867">
        <v>2442</v>
      </c>
      <c r="B867" t="s">
        <v>893</v>
      </c>
      <c r="C867">
        <v>5.85</v>
      </c>
      <c r="D867">
        <f>VLOOKUP(A867,收盤價!A:C,3,0)</f>
        <v>6.69</v>
      </c>
      <c r="E867" s="163">
        <v>0.14358974358974372</v>
      </c>
      <c r="F867">
        <v>45.3</v>
      </c>
    </row>
    <row r="868" spans="1:6">
      <c r="A868">
        <v>5489</v>
      </c>
      <c r="B868" t="s">
        <v>1682</v>
      </c>
      <c r="C868">
        <v>45.85</v>
      </c>
      <c r="D868">
        <f>VLOOKUP(A868,收盤價!A:C,3,0)</f>
        <v>52.4</v>
      </c>
      <c r="E868" s="163">
        <v>0.14285714285714279</v>
      </c>
      <c r="F868">
        <v>45.24</v>
      </c>
    </row>
    <row r="869" spans="1:6">
      <c r="A869">
        <v>2313</v>
      </c>
      <c r="B869" t="s">
        <v>801</v>
      </c>
      <c r="C869">
        <v>18.95</v>
      </c>
      <c r="D869">
        <f>VLOOKUP(A869,收盤價!A:C,3,0)</f>
        <v>21.65</v>
      </c>
      <c r="E869" s="163">
        <v>0.14248021108179415</v>
      </c>
      <c r="F869">
        <v>45.17</v>
      </c>
    </row>
    <row r="870" spans="1:6">
      <c r="A870">
        <v>1323</v>
      </c>
      <c r="B870" t="s">
        <v>586</v>
      </c>
      <c r="C870">
        <v>21.45</v>
      </c>
      <c r="D870">
        <f>VLOOKUP(A870,收盤價!A:C,3,0)</f>
        <v>24.5</v>
      </c>
      <c r="E870" s="163">
        <v>0.14219114219114223</v>
      </c>
      <c r="F870">
        <v>45.11</v>
      </c>
    </row>
    <row r="871" spans="1:6">
      <c r="A871">
        <v>8421</v>
      </c>
      <c r="B871" t="s">
        <v>516</v>
      </c>
      <c r="C871">
        <v>10.199999999999999</v>
      </c>
      <c r="D871">
        <f>VLOOKUP(A871,收盤價!A:C,3,0)</f>
        <v>11.65</v>
      </c>
      <c r="E871" s="163">
        <v>0.14215686274509814</v>
      </c>
      <c r="F871">
        <v>45.05</v>
      </c>
    </row>
    <row r="872" spans="1:6">
      <c r="A872">
        <v>3206</v>
      </c>
      <c r="B872" t="s">
        <v>1485</v>
      </c>
      <c r="C872">
        <v>18.3</v>
      </c>
      <c r="D872">
        <f>VLOOKUP(A872,收盤價!A:C,3,0)</f>
        <v>20.9</v>
      </c>
      <c r="E872" s="163">
        <v>0.14207650273224032</v>
      </c>
      <c r="F872">
        <v>44.98</v>
      </c>
    </row>
    <row r="873" spans="1:6">
      <c r="A873">
        <v>3528</v>
      </c>
      <c r="B873" t="s">
        <v>1530</v>
      </c>
      <c r="C873">
        <v>25.7</v>
      </c>
      <c r="D873">
        <f>VLOOKUP(A873,收盤價!A:C,3,0)</f>
        <v>29.35</v>
      </c>
      <c r="E873" s="163">
        <v>0.14202334630350202</v>
      </c>
      <c r="F873">
        <v>44.92</v>
      </c>
    </row>
    <row r="874" spans="1:6">
      <c r="A874">
        <v>2015</v>
      </c>
      <c r="B874" t="s">
        <v>755</v>
      </c>
      <c r="C874">
        <v>33.799999999999997</v>
      </c>
      <c r="D874">
        <f>VLOOKUP(A874,收盤價!A:C,3,0)</f>
        <v>38.6</v>
      </c>
      <c r="E874" s="163">
        <v>0.14201183431952677</v>
      </c>
      <c r="F874">
        <v>44.86</v>
      </c>
    </row>
    <row r="875" spans="1:6">
      <c r="A875">
        <v>2032</v>
      </c>
      <c r="B875" t="s">
        <v>767</v>
      </c>
      <c r="C875">
        <v>7.69</v>
      </c>
      <c r="D875">
        <f>VLOOKUP(A875,收盤價!A:C,3,0)</f>
        <v>8.7799999999999994</v>
      </c>
      <c r="E875" s="163">
        <v>0.14174252275682692</v>
      </c>
      <c r="F875">
        <v>44.79</v>
      </c>
    </row>
    <row r="876" spans="1:6">
      <c r="A876">
        <v>4109</v>
      </c>
      <c r="B876" t="s">
        <v>1563</v>
      </c>
      <c r="C876">
        <v>21.55</v>
      </c>
      <c r="D876">
        <f>VLOOKUP(A876,收盤價!A:C,3,0)</f>
        <v>24.6</v>
      </c>
      <c r="E876" s="163">
        <v>0.1415313225058005</v>
      </c>
      <c r="F876">
        <v>44.73</v>
      </c>
    </row>
    <row r="877" spans="1:6">
      <c r="A877">
        <v>4513</v>
      </c>
      <c r="B877" t="s">
        <v>1599</v>
      </c>
      <c r="C877">
        <v>8.81</v>
      </c>
      <c r="D877">
        <f>VLOOKUP(A877,收盤價!A:C,3,0)</f>
        <v>10.050000000000001</v>
      </c>
      <c r="E877" s="163">
        <v>0.14074914869466518</v>
      </c>
      <c r="F877">
        <v>44.67</v>
      </c>
    </row>
    <row r="878" spans="1:6">
      <c r="A878">
        <v>1609</v>
      </c>
      <c r="B878" t="s">
        <v>686</v>
      </c>
      <c r="C878">
        <v>4.05</v>
      </c>
      <c r="D878">
        <f>VLOOKUP(A878,收盤價!A:C,3,0)</f>
        <v>4.62</v>
      </c>
      <c r="E878" s="163">
        <v>0.14074074074074081</v>
      </c>
      <c r="F878">
        <v>44.61</v>
      </c>
    </row>
    <row r="879" spans="1:6">
      <c r="A879">
        <v>5521</v>
      </c>
      <c r="B879" t="s">
        <v>1243</v>
      </c>
      <c r="C879">
        <v>9.6</v>
      </c>
      <c r="D879">
        <f>VLOOKUP(A879,收盤價!A:C,3,0)</f>
        <v>10.95</v>
      </c>
      <c r="E879" s="163">
        <v>0.14062499999999997</v>
      </c>
      <c r="F879">
        <v>44.54</v>
      </c>
    </row>
    <row r="880" spans="1:6">
      <c r="A880">
        <v>6133</v>
      </c>
      <c r="B880" t="s">
        <v>1266</v>
      </c>
      <c r="C880">
        <v>9.1199999999999992</v>
      </c>
      <c r="D880">
        <f>VLOOKUP(A880,收盤價!A:C,3,0)</f>
        <v>10.4</v>
      </c>
      <c r="E880" s="163">
        <v>0.14035087719298259</v>
      </c>
      <c r="F880">
        <v>44.48</v>
      </c>
    </row>
    <row r="881" spans="1:6">
      <c r="A881">
        <v>5706</v>
      </c>
      <c r="B881" t="s">
        <v>1252</v>
      </c>
      <c r="C881">
        <v>34.200000000000003</v>
      </c>
      <c r="D881">
        <f>VLOOKUP(A881,收盤價!A:C,3,0)</f>
        <v>39</v>
      </c>
      <c r="E881" s="163">
        <v>0.14035087719298237</v>
      </c>
      <c r="F881">
        <v>44.42</v>
      </c>
    </row>
    <row r="882" spans="1:6">
      <c r="A882">
        <v>1410</v>
      </c>
      <c r="B882" t="s">
        <v>596</v>
      </c>
      <c r="C882">
        <v>21.05</v>
      </c>
      <c r="D882">
        <f>VLOOKUP(A882,收盤價!A:C,3,0)</f>
        <v>24</v>
      </c>
      <c r="E882" s="163">
        <v>0.14014251781472681</v>
      </c>
      <c r="F882">
        <v>44.35</v>
      </c>
    </row>
    <row r="883" spans="1:6">
      <c r="A883">
        <v>6128</v>
      </c>
      <c r="B883" t="s">
        <v>1264</v>
      </c>
      <c r="C883">
        <v>30</v>
      </c>
      <c r="D883">
        <f>VLOOKUP(A883,收盤價!A:C,3,0)</f>
        <v>34.200000000000003</v>
      </c>
      <c r="E883" s="163">
        <v>0.1400000000000001</v>
      </c>
      <c r="F883">
        <v>44.29</v>
      </c>
    </row>
    <row r="884" spans="1:6">
      <c r="A884">
        <v>2923</v>
      </c>
      <c r="B884" t="s">
        <v>1042</v>
      </c>
      <c r="C884">
        <v>18.95</v>
      </c>
      <c r="D884">
        <f>VLOOKUP(A884,收盤價!A:C,3,0)</f>
        <v>21.6</v>
      </c>
      <c r="E884" s="163">
        <v>0.13984168865435367</v>
      </c>
      <c r="F884">
        <v>44.23</v>
      </c>
    </row>
    <row r="885" spans="1:6">
      <c r="A885">
        <v>2617</v>
      </c>
      <c r="B885" t="s">
        <v>980</v>
      </c>
      <c r="C885">
        <v>11.8</v>
      </c>
      <c r="D885">
        <f>VLOOKUP(A885,收盤價!A:C,3,0)</f>
        <v>13.45</v>
      </c>
      <c r="E885" s="163">
        <v>0.13983050847457615</v>
      </c>
      <c r="F885">
        <v>44.16</v>
      </c>
    </row>
    <row r="886" spans="1:6">
      <c r="A886">
        <v>6264</v>
      </c>
      <c r="B886" t="s">
        <v>487</v>
      </c>
      <c r="C886">
        <v>5.08</v>
      </c>
      <c r="D886">
        <f>VLOOKUP(A886,收盤價!A:C,3,0)</f>
        <v>5.79</v>
      </c>
      <c r="E886" s="163">
        <v>0.13976377952755906</v>
      </c>
      <c r="F886">
        <v>44.1</v>
      </c>
    </row>
    <row r="887" spans="1:6">
      <c r="A887">
        <v>4153</v>
      </c>
      <c r="B887" t="s">
        <v>368</v>
      </c>
      <c r="C887">
        <v>63.7</v>
      </c>
      <c r="D887">
        <f>VLOOKUP(A887,收盤價!A:C,3,0)</f>
        <v>72.599999999999994</v>
      </c>
      <c r="E887" s="163">
        <v>0.13971742543171101</v>
      </c>
      <c r="F887">
        <v>44.04</v>
      </c>
    </row>
    <row r="888" spans="1:6">
      <c r="A888">
        <v>3705</v>
      </c>
      <c r="B888" t="s">
        <v>1176</v>
      </c>
      <c r="C888">
        <v>42.3</v>
      </c>
      <c r="D888">
        <f>VLOOKUP(A888,收盤價!A:C,3,0)</f>
        <v>48.2</v>
      </c>
      <c r="E888" s="163">
        <v>0.13947990543735239</v>
      </c>
      <c r="F888">
        <v>43.97</v>
      </c>
    </row>
    <row r="889" spans="1:6">
      <c r="A889">
        <v>2390</v>
      </c>
      <c r="B889" t="s">
        <v>855</v>
      </c>
      <c r="C889">
        <v>19</v>
      </c>
      <c r="D889">
        <f>VLOOKUP(A889,收盤價!A:C,3,0)</f>
        <v>21.65</v>
      </c>
      <c r="E889" s="163">
        <v>0.13947368421052625</v>
      </c>
      <c r="F889">
        <v>43.91</v>
      </c>
    </row>
    <row r="890" spans="1:6">
      <c r="A890">
        <v>6109</v>
      </c>
      <c r="B890" t="s">
        <v>1710</v>
      </c>
      <c r="C890">
        <v>11.5</v>
      </c>
      <c r="D890">
        <f>VLOOKUP(A890,收盤價!A:C,3,0)</f>
        <v>13.1</v>
      </c>
      <c r="E890" s="163">
        <v>0.13913043478260867</v>
      </c>
      <c r="F890">
        <v>43.85</v>
      </c>
    </row>
    <row r="891" spans="1:6">
      <c r="A891">
        <v>8932</v>
      </c>
      <c r="B891" t="s">
        <v>1841</v>
      </c>
      <c r="C891">
        <v>8.5</v>
      </c>
      <c r="D891">
        <f>VLOOKUP(A891,收盤價!A:C,3,0)</f>
        <v>9.68</v>
      </c>
      <c r="E891" s="163">
        <v>0.13882352941176468</v>
      </c>
      <c r="F891">
        <v>43.79</v>
      </c>
    </row>
    <row r="892" spans="1:6">
      <c r="A892">
        <v>2409</v>
      </c>
      <c r="B892" t="s">
        <v>867</v>
      </c>
      <c r="C892">
        <v>8.6</v>
      </c>
      <c r="D892">
        <f>VLOOKUP(A892,收盤價!A:C,3,0)</f>
        <v>9.7899999999999991</v>
      </c>
      <c r="E892" s="163">
        <v>0.13837209302325576</v>
      </c>
      <c r="F892">
        <v>43.72</v>
      </c>
    </row>
    <row r="893" spans="1:6">
      <c r="A893">
        <v>3085</v>
      </c>
      <c r="B893" t="s">
        <v>285</v>
      </c>
      <c r="C893">
        <v>5.86</v>
      </c>
      <c r="D893">
        <f>VLOOKUP(A893,收盤價!A:C,3,0)</f>
        <v>6.67</v>
      </c>
      <c r="E893" s="163">
        <v>0.13822525597269616</v>
      </c>
      <c r="F893">
        <v>43.66</v>
      </c>
    </row>
    <row r="894" spans="1:6">
      <c r="A894">
        <v>1447</v>
      </c>
      <c r="B894" t="s">
        <v>618</v>
      </c>
      <c r="C894">
        <v>7.25</v>
      </c>
      <c r="D894">
        <f>VLOOKUP(A894,收盤價!A:C,3,0)</f>
        <v>8.25</v>
      </c>
      <c r="E894" s="163">
        <v>0.13793103448275862</v>
      </c>
      <c r="F894">
        <v>43.6</v>
      </c>
    </row>
    <row r="895" spans="1:6">
      <c r="A895">
        <v>6203</v>
      </c>
      <c r="B895" t="s">
        <v>468</v>
      </c>
      <c r="C895">
        <v>28.05</v>
      </c>
      <c r="D895">
        <f>VLOOKUP(A895,收盤價!A:C,3,0)</f>
        <v>31.9</v>
      </c>
      <c r="E895" s="163">
        <v>0.13725490196078424</v>
      </c>
      <c r="F895">
        <v>43.53</v>
      </c>
    </row>
    <row r="896" spans="1:6">
      <c r="A896">
        <v>4908</v>
      </c>
      <c r="B896" t="s">
        <v>1622</v>
      </c>
      <c r="C896">
        <v>16.05</v>
      </c>
      <c r="D896">
        <f>VLOOKUP(A896,收盤價!A:C,3,0)</f>
        <v>18.25</v>
      </c>
      <c r="E896" s="163">
        <v>0.13707165109034264</v>
      </c>
      <c r="F896">
        <v>43.47</v>
      </c>
    </row>
    <row r="897" spans="1:6">
      <c r="A897">
        <v>3323</v>
      </c>
      <c r="B897" t="s">
        <v>318</v>
      </c>
      <c r="C897">
        <v>15.7</v>
      </c>
      <c r="D897">
        <f>VLOOKUP(A897,收盤價!A:C,3,0)</f>
        <v>17.850000000000001</v>
      </c>
      <c r="E897" s="163">
        <v>0.1369426751592358</v>
      </c>
      <c r="F897">
        <v>43.41</v>
      </c>
    </row>
    <row r="898" spans="1:6">
      <c r="A898">
        <v>1470</v>
      </c>
      <c r="B898" t="s">
        <v>636</v>
      </c>
      <c r="C898">
        <v>16.100000000000001</v>
      </c>
      <c r="D898">
        <f>VLOOKUP(A898,收盤價!A:C,3,0)</f>
        <v>18.3</v>
      </c>
      <c r="E898" s="163">
        <v>0.13664596273291921</v>
      </c>
      <c r="F898">
        <v>43.34</v>
      </c>
    </row>
    <row r="899" spans="1:6">
      <c r="A899">
        <v>2887</v>
      </c>
      <c r="B899" t="s">
        <v>1023</v>
      </c>
      <c r="C899">
        <v>10.25</v>
      </c>
      <c r="D899">
        <f>VLOOKUP(A899,收盤價!A:C,3,0)</f>
        <v>11.65</v>
      </c>
      <c r="E899" s="163">
        <v>0.13658536585365857</v>
      </c>
      <c r="F899">
        <v>43.28</v>
      </c>
    </row>
    <row r="900" spans="1:6">
      <c r="A900">
        <v>9905</v>
      </c>
      <c r="B900" t="s">
        <v>1399</v>
      </c>
      <c r="C900">
        <v>24.9</v>
      </c>
      <c r="D900">
        <f>VLOOKUP(A900,收盤價!A:C,3,0)</f>
        <v>28.3</v>
      </c>
      <c r="E900" s="163">
        <v>0.13654618473895591</v>
      </c>
      <c r="F900">
        <v>43.22</v>
      </c>
    </row>
    <row r="901" spans="1:6">
      <c r="A901">
        <v>1203</v>
      </c>
      <c r="B901" t="s">
        <v>551</v>
      </c>
      <c r="C901">
        <v>20.149999999999999</v>
      </c>
      <c r="D901">
        <f>VLOOKUP(A901,收盤價!A:C,3,0)</f>
        <v>22.9</v>
      </c>
      <c r="E901" s="163">
        <v>0.13647642679900746</v>
      </c>
      <c r="F901">
        <v>43.15</v>
      </c>
    </row>
    <row r="902" spans="1:6">
      <c r="A902">
        <v>2114</v>
      </c>
      <c r="B902" t="s">
        <v>783</v>
      </c>
      <c r="C902">
        <v>64</v>
      </c>
      <c r="D902">
        <f>VLOOKUP(A902,收盤價!A:C,3,0)</f>
        <v>72.7</v>
      </c>
      <c r="E902" s="163">
        <v>0.13593750000000004</v>
      </c>
      <c r="F902">
        <v>43.09</v>
      </c>
    </row>
    <row r="903" spans="1:6">
      <c r="A903">
        <v>1438</v>
      </c>
      <c r="B903" t="s">
        <v>609</v>
      </c>
      <c r="C903">
        <v>4.05</v>
      </c>
      <c r="D903">
        <f>VLOOKUP(A903,收盤價!A:C,3,0)</f>
        <v>4.5999999999999996</v>
      </c>
      <c r="E903" s="163">
        <v>0.13580246913580243</v>
      </c>
      <c r="F903">
        <v>43.03</v>
      </c>
    </row>
    <row r="904" spans="1:6">
      <c r="A904">
        <v>1533</v>
      </c>
      <c r="B904" t="s">
        <v>666</v>
      </c>
      <c r="C904">
        <v>34.65</v>
      </c>
      <c r="D904">
        <f>VLOOKUP(A904,收盤價!A:C,3,0)</f>
        <v>39.35</v>
      </c>
      <c r="E904" s="163">
        <v>0.13564213564213573</v>
      </c>
      <c r="F904">
        <v>42.97</v>
      </c>
    </row>
    <row r="905" spans="1:6">
      <c r="A905">
        <v>2501</v>
      </c>
      <c r="B905" t="s">
        <v>938</v>
      </c>
      <c r="C905">
        <v>11.8</v>
      </c>
      <c r="D905">
        <f>VLOOKUP(A905,收盤價!A:C,3,0)</f>
        <v>13.4</v>
      </c>
      <c r="E905" s="163">
        <v>0.13559322033898302</v>
      </c>
      <c r="F905">
        <v>42.9</v>
      </c>
    </row>
    <row r="906" spans="1:6">
      <c r="A906">
        <v>2106</v>
      </c>
      <c r="B906" t="s">
        <v>779</v>
      </c>
      <c r="C906">
        <v>43.2</v>
      </c>
      <c r="D906">
        <f>VLOOKUP(A906,收盤價!A:C,3,0)</f>
        <v>49.05</v>
      </c>
      <c r="E906" s="163">
        <v>0.13541666666666652</v>
      </c>
      <c r="F906">
        <v>42.84</v>
      </c>
    </row>
    <row r="907" spans="1:6">
      <c r="A907">
        <v>3526</v>
      </c>
      <c r="B907" t="s">
        <v>1529</v>
      </c>
      <c r="C907">
        <v>18.850000000000001</v>
      </c>
      <c r="D907">
        <f>VLOOKUP(A907,收盤價!A:C,3,0)</f>
        <v>21.4</v>
      </c>
      <c r="E907" s="163">
        <v>0.13527851458885926</v>
      </c>
      <c r="F907">
        <v>42.78</v>
      </c>
    </row>
    <row r="908" spans="1:6">
      <c r="A908">
        <v>9929</v>
      </c>
      <c r="B908" t="s">
        <v>1416</v>
      </c>
      <c r="C908">
        <v>12.6</v>
      </c>
      <c r="D908">
        <f>VLOOKUP(A908,收盤價!A:C,3,0)</f>
        <v>14.3</v>
      </c>
      <c r="E908" s="163">
        <v>0.134920634920635</v>
      </c>
      <c r="F908">
        <v>42.71</v>
      </c>
    </row>
    <row r="909" spans="1:6">
      <c r="A909">
        <v>6241</v>
      </c>
      <c r="B909" t="s">
        <v>480</v>
      </c>
      <c r="C909">
        <v>11.9</v>
      </c>
      <c r="D909">
        <f>VLOOKUP(A909,收盤價!A:C,3,0)</f>
        <v>13.5</v>
      </c>
      <c r="E909" s="163">
        <v>0.13445378151260501</v>
      </c>
      <c r="F909">
        <v>42.65</v>
      </c>
    </row>
    <row r="910" spans="1:6">
      <c r="A910">
        <v>6284</v>
      </c>
      <c r="B910" t="s">
        <v>1762</v>
      </c>
      <c r="C910">
        <v>18</v>
      </c>
      <c r="D910">
        <f>VLOOKUP(A910,收盤價!A:C,3,0)</f>
        <v>20.399999999999999</v>
      </c>
      <c r="E910" s="163">
        <v>0.13333333333333325</v>
      </c>
      <c r="F910">
        <v>42.59</v>
      </c>
    </row>
    <row r="911" spans="1:6">
      <c r="A911">
        <v>1333</v>
      </c>
      <c r="B911" t="s">
        <v>262</v>
      </c>
      <c r="C911">
        <v>4.58</v>
      </c>
      <c r="D911">
        <f>VLOOKUP(A911,收盤價!A:C,3,0)</f>
        <v>5.19</v>
      </c>
      <c r="E911" s="163">
        <v>0.13318777292576425</v>
      </c>
      <c r="F911">
        <v>42.52</v>
      </c>
    </row>
    <row r="912" spans="1:6">
      <c r="A912">
        <v>1321</v>
      </c>
      <c r="B912" t="s">
        <v>585</v>
      </c>
      <c r="C912">
        <v>22.9</v>
      </c>
      <c r="D912">
        <f>VLOOKUP(A912,收盤價!A:C,3,0)</f>
        <v>25.95</v>
      </c>
      <c r="E912" s="163">
        <v>0.13318777292576423</v>
      </c>
      <c r="F912">
        <v>42.46</v>
      </c>
    </row>
    <row r="913" spans="1:6">
      <c r="A913">
        <v>2454</v>
      </c>
      <c r="B913" t="s">
        <v>901</v>
      </c>
      <c r="C913">
        <v>229</v>
      </c>
      <c r="D913">
        <f>VLOOKUP(A913,收盤價!A:C,3,0)</f>
        <v>259.5</v>
      </c>
      <c r="E913" s="163">
        <v>0.1331877729257642</v>
      </c>
      <c r="F913">
        <v>42.4</v>
      </c>
    </row>
    <row r="914" spans="1:6">
      <c r="A914">
        <v>8016</v>
      </c>
      <c r="B914" t="s">
        <v>1335</v>
      </c>
      <c r="C914">
        <v>79.900000000000006</v>
      </c>
      <c r="D914">
        <f>VLOOKUP(A914,收盤價!A:C,3,0)</f>
        <v>90.5</v>
      </c>
      <c r="E914" s="163">
        <v>0.13266583229036288</v>
      </c>
      <c r="F914">
        <v>42.33</v>
      </c>
    </row>
    <row r="915" spans="1:6">
      <c r="A915">
        <v>9188</v>
      </c>
      <c r="B915" t="s">
        <v>1395</v>
      </c>
      <c r="C915">
        <v>3.47</v>
      </c>
      <c r="D915">
        <f>VLOOKUP(A915,收盤價!A:C,3,0)</f>
        <v>3.93</v>
      </c>
      <c r="E915" s="163">
        <v>0.13256484149855907</v>
      </c>
      <c r="F915">
        <v>42.27</v>
      </c>
    </row>
    <row r="916" spans="1:6">
      <c r="A916">
        <v>5206</v>
      </c>
      <c r="B916" t="s">
        <v>405</v>
      </c>
      <c r="C916">
        <v>9.4499999999999993</v>
      </c>
      <c r="D916">
        <f>VLOOKUP(A916,收盤價!A:C,3,0)</f>
        <v>10.7</v>
      </c>
      <c r="E916" s="163">
        <v>0.1322751322751323</v>
      </c>
      <c r="F916">
        <v>42.21</v>
      </c>
    </row>
    <row r="917" spans="1:6">
      <c r="A917">
        <v>1326</v>
      </c>
      <c r="B917" t="s">
        <v>589</v>
      </c>
      <c r="C917">
        <v>62.1</v>
      </c>
      <c r="D917">
        <f>VLOOKUP(A917,收盤價!A:C,3,0)</f>
        <v>70.3</v>
      </c>
      <c r="E917" s="163">
        <v>0.13204508856682762</v>
      </c>
      <c r="F917">
        <v>42.15</v>
      </c>
    </row>
    <row r="918" spans="1:6">
      <c r="A918">
        <v>2482</v>
      </c>
      <c r="B918" t="s">
        <v>923</v>
      </c>
      <c r="C918">
        <v>11.85</v>
      </c>
      <c r="D918">
        <f>VLOOKUP(A918,收盤價!A:C,3,0)</f>
        <v>13.4</v>
      </c>
      <c r="E918" s="163">
        <v>0.13080168776371315</v>
      </c>
      <c r="F918">
        <v>42.08</v>
      </c>
    </row>
    <row r="919" spans="1:6">
      <c r="A919">
        <v>5276</v>
      </c>
      <c r="B919" t="s">
        <v>1648</v>
      </c>
      <c r="C919">
        <v>19.899999999999999</v>
      </c>
      <c r="D919">
        <f>VLOOKUP(A919,收盤價!A:C,3,0)</f>
        <v>22.5</v>
      </c>
      <c r="E919" s="163">
        <v>0.13065326633165839</v>
      </c>
      <c r="F919">
        <v>42.02</v>
      </c>
    </row>
    <row r="920" spans="1:6">
      <c r="A920">
        <v>4526</v>
      </c>
      <c r="B920" t="s">
        <v>1191</v>
      </c>
      <c r="C920">
        <v>20.3</v>
      </c>
      <c r="D920">
        <f>VLOOKUP(A920,收盤價!A:C,3,0)</f>
        <v>22.95</v>
      </c>
      <c r="E920" s="163">
        <v>0.13054187192118219</v>
      </c>
      <c r="F920">
        <v>41.96</v>
      </c>
    </row>
    <row r="921" spans="1:6">
      <c r="A921">
        <v>1902</v>
      </c>
      <c r="B921" t="s">
        <v>739</v>
      </c>
      <c r="C921">
        <v>9.51</v>
      </c>
      <c r="D921">
        <f>VLOOKUP(A921,收盤價!A:C,3,0)</f>
        <v>10.75</v>
      </c>
      <c r="E921" s="163">
        <v>0.13038906414300738</v>
      </c>
      <c r="F921">
        <v>41.89</v>
      </c>
    </row>
    <row r="922" spans="1:6">
      <c r="A922">
        <v>1715</v>
      </c>
      <c r="B922" t="s">
        <v>707</v>
      </c>
      <c r="C922">
        <v>10</v>
      </c>
      <c r="D922">
        <f>VLOOKUP(A922,收盤價!A:C,3,0)</f>
        <v>11.3</v>
      </c>
      <c r="E922" s="163">
        <v>0.13000000000000006</v>
      </c>
      <c r="F922">
        <v>41.83</v>
      </c>
    </row>
    <row r="923" spans="1:6">
      <c r="A923">
        <v>9928</v>
      </c>
      <c r="B923" t="s">
        <v>1415</v>
      </c>
      <c r="C923">
        <v>8.42</v>
      </c>
      <c r="D923">
        <f>VLOOKUP(A923,收盤價!A:C,3,0)</f>
        <v>9.5</v>
      </c>
      <c r="E923" s="163">
        <v>0.12826603325415678</v>
      </c>
      <c r="F923">
        <v>41.77</v>
      </c>
    </row>
    <row r="924" spans="1:6">
      <c r="A924">
        <v>8011</v>
      </c>
      <c r="B924" t="s">
        <v>1334</v>
      </c>
      <c r="C924">
        <v>16.05</v>
      </c>
      <c r="D924">
        <f>VLOOKUP(A924,收盤價!A:C,3,0)</f>
        <v>18.100000000000001</v>
      </c>
      <c r="E924" s="163">
        <v>0.12772585669781936</v>
      </c>
      <c r="F924">
        <v>41.7</v>
      </c>
    </row>
    <row r="925" spans="1:6">
      <c r="A925">
        <v>8024</v>
      </c>
      <c r="B925" t="s">
        <v>498</v>
      </c>
      <c r="C925">
        <v>9.49</v>
      </c>
      <c r="D925">
        <f>VLOOKUP(A925,收盤價!A:C,3,0)</f>
        <v>10.7</v>
      </c>
      <c r="E925" s="163">
        <v>0.12750263435194931</v>
      </c>
      <c r="F925">
        <v>41.64</v>
      </c>
    </row>
    <row r="926" spans="1:6">
      <c r="A926">
        <v>1727</v>
      </c>
      <c r="B926" t="s">
        <v>717</v>
      </c>
      <c r="C926">
        <v>13.35</v>
      </c>
      <c r="D926">
        <f>VLOOKUP(A926,收盤價!A:C,3,0)</f>
        <v>15.05</v>
      </c>
      <c r="E926" s="163">
        <v>0.12734082397003754</v>
      </c>
      <c r="F926">
        <v>41.58</v>
      </c>
    </row>
    <row r="927" spans="1:6">
      <c r="A927">
        <v>1440</v>
      </c>
      <c r="B927" t="s">
        <v>611</v>
      </c>
      <c r="C927">
        <v>12.6</v>
      </c>
      <c r="D927">
        <f>VLOOKUP(A927,收盤價!A:C,3,0)</f>
        <v>14.2</v>
      </c>
      <c r="E927" s="163">
        <v>0.12698412698412695</v>
      </c>
      <c r="F927">
        <v>41.51</v>
      </c>
    </row>
    <row r="928" spans="1:6">
      <c r="A928">
        <v>2206</v>
      </c>
      <c r="B928" t="s">
        <v>787</v>
      </c>
      <c r="C928">
        <v>19.7</v>
      </c>
      <c r="D928">
        <f>VLOOKUP(A928,收盤價!A:C,3,0)</f>
        <v>22.2</v>
      </c>
      <c r="E928" s="163">
        <v>0.12690355329949238</v>
      </c>
      <c r="F928">
        <v>41.45</v>
      </c>
    </row>
    <row r="929" spans="1:6">
      <c r="A929">
        <v>3628</v>
      </c>
      <c r="B929" t="s">
        <v>1545</v>
      </c>
      <c r="C929">
        <v>48.3</v>
      </c>
      <c r="D929">
        <f>VLOOKUP(A929,收盤價!A:C,3,0)</f>
        <v>54.4</v>
      </c>
      <c r="E929" s="163">
        <v>0.12629399585921328</v>
      </c>
      <c r="F929">
        <v>41.39</v>
      </c>
    </row>
    <row r="930" spans="1:6">
      <c r="A930">
        <v>1583</v>
      </c>
      <c r="B930" t="s">
        <v>678</v>
      </c>
      <c r="C930">
        <v>57.9</v>
      </c>
      <c r="D930">
        <f>VLOOKUP(A930,收盤價!A:C,3,0)</f>
        <v>65.2</v>
      </c>
      <c r="E930" s="163">
        <v>0.12607944732297072</v>
      </c>
      <c r="F930">
        <v>41.32</v>
      </c>
    </row>
    <row r="931" spans="1:6">
      <c r="A931">
        <v>4128</v>
      </c>
      <c r="B931" t="s">
        <v>1569</v>
      </c>
      <c r="C931">
        <v>23.8</v>
      </c>
      <c r="D931">
        <f>VLOOKUP(A931,收盤價!A:C,3,0)</f>
        <v>26.8</v>
      </c>
      <c r="E931" s="163">
        <v>0.12605042016806722</v>
      </c>
      <c r="F931">
        <v>41.26</v>
      </c>
    </row>
    <row r="932" spans="1:6">
      <c r="A932">
        <v>5480</v>
      </c>
      <c r="B932" t="s">
        <v>1678</v>
      </c>
      <c r="C932">
        <v>9.68</v>
      </c>
      <c r="D932">
        <f>VLOOKUP(A932,收盤價!A:C,3,0)</f>
        <v>10.9</v>
      </c>
      <c r="E932" s="163">
        <v>0.12603305785123975</v>
      </c>
      <c r="F932">
        <v>41.2</v>
      </c>
    </row>
    <row r="933" spans="1:6">
      <c r="A933">
        <v>3363</v>
      </c>
      <c r="B933" t="s">
        <v>321</v>
      </c>
      <c r="C933">
        <v>25.9</v>
      </c>
      <c r="D933">
        <f>VLOOKUP(A933,收盤價!A:C,3,0)</f>
        <v>29.15</v>
      </c>
      <c r="E933" s="163">
        <v>0.12548262548262548</v>
      </c>
      <c r="F933">
        <v>41.14</v>
      </c>
    </row>
    <row r="934" spans="1:6">
      <c r="A934">
        <v>6214</v>
      </c>
      <c r="B934" t="s">
        <v>1295</v>
      </c>
      <c r="C934">
        <v>47.1</v>
      </c>
      <c r="D934">
        <f>VLOOKUP(A934,收盤價!A:C,3,0)</f>
        <v>53</v>
      </c>
      <c r="E934" s="163">
        <v>0.12526539278131632</v>
      </c>
      <c r="F934">
        <v>41.07</v>
      </c>
    </row>
    <row r="935" spans="1:6">
      <c r="A935">
        <v>6261</v>
      </c>
      <c r="B935" t="s">
        <v>486</v>
      </c>
      <c r="C935">
        <v>44.8</v>
      </c>
      <c r="D935">
        <f>VLOOKUP(A935,收盤價!A:C,3,0)</f>
        <v>50.4</v>
      </c>
      <c r="E935" s="163">
        <v>0.12500000000000003</v>
      </c>
      <c r="F935">
        <v>41.01</v>
      </c>
    </row>
    <row r="936" spans="1:6">
      <c r="A936">
        <v>1437</v>
      </c>
      <c r="B936" t="s">
        <v>608</v>
      </c>
      <c r="C936">
        <v>10.8</v>
      </c>
      <c r="D936">
        <f>VLOOKUP(A936,收盤價!A:C,3,0)</f>
        <v>12.15</v>
      </c>
      <c r="E936" s="163">
        <v>0.12499999999999996</v>
      </c>
      <c r="F936">
        <v>40.950000000000003</v>
      </c>
    </row>
    <row r="937" spans="1:6">
      <c r="A937">
        <v>4720</v>
      </c>
      <c r="B937" t="s">
        <v>1196</v>
      </c>
      <c r="C937">
        <v>14.4</v>
      </c>
      <c r="D937">
        <f>VLOOKUP(A937,收盤價!A:C,3,0)</f>
        <v>16.2</v>
      </c>
      <c r="E937" s="163">
        <v>0.12499999999999992</v>
      </c>
      <c r="F937">
        <v>40.880000000000003</v>
      </c>
    </row>
    <row r="938" spans="1:6">
      <c r="A938">
        <v>1434</v>
      </c>
      <c r="B938" t="s">
        <v>605</v>
      </c>
      <c r="C938">
        <v>26.5</v>
      </c>
      <c r="D938">
        <f>VLOOKUP(A938,收盤價!A:C,3,0)</f>
        <v>29.8</v>
      </c>
      <c r="E938" s="163">
        <v>0.12452830188679248</v>
      </c>
      <c r="F938">
        <v>40.82</v>
      </c>
    </row>
    <row r="939" spans="1:6">
      <c r="A939">
        <v>8410</v>
      </c>
      <c r="B939" t="s">
        <v>513</v>
      </c>
      <c r="C939">
        <v>15.75</v>
      </c>
      <c r="D939">
        <f>VLOOKUP(A939,收盤價!A:C,3,0)</f>
        <v>17.7</v>
      </c>
      <c r="E939" s="163">
        <v>0.12380952380952376</v>
      </c>
      <c r="F939">
        <v>40.76</v>
      </c>
    </row>
    <row r="940" spans="1:6">
      <c r="A940">
        <v>2520</v>
      </c>
      <c r="B940" t="s">
        <v>947</v>
      </c>
      <c r="C940">
        <v>13.8</v>
      </c>
      <c r="D940">
        <f>VLOOKUP(A940,收盤價!A:C,3,0)</f>
        <v>15.5</v>
      </c>
      <c r="E940" s="163">
        <v>0.12318840579710139</v>
      </c>
      <c r="F940">
        <v>40.69</v>
      </c>
    </row>
    <row r="941" spans="1:6">
      <c r="A941">
        <v>3228</v>
      </c>
      <c r="B941" t="s">
        <v>302</v>
      </c>
      <c r="C941">
        <v>19.95</v>
      </c>
      <c r="D941">
        <f>VLOOKUP(A941,收盤價!A:C,3,0)</f>
        <v>22.4</v>
      </c>
      <c r="E941" s="163">
        <v>0.12280701754385961</v>
      </c>
      <c r="F941">
        <v>40.630000000000003</v>
      </c>
    </row>
    <row r="942" spans="1:6">
      <c r="A942">
        <v>1313</v>
      </c>
      <c r="B942" t="s">
        <v>580</v>
      </c>
      <c r="C942">
        <v>8.4</v>
      </c>
      <c r="D942">
        <f>VLOOKUP(A942,收盤價!A:C,3,0)</f>
        <v>9.43</v>
      </c>
      <c r="E942" s="163">
        <v>0.12261904761904754</v>
      </c>
      <c r="F942">
        <v>40.57</v>
      </c>
    </row>
    <row r="943" spans="1:6">
      <c r="A943">
        <v>2064</v>
      </c>
      <c r="B943" t="s">
        <v>275</v>
      </c>
      <c r="C943">
        <v>15.15</v>
      </c>
      <c r="D943">
        <f>VLOOKUP(A943,收盤價!A:C,3,0)</f>
        <v>17</v>
      </c>
      <c r="E943" s="163">
        <v>0.12211221122112209</v>
      </c>
      <c r="F943">
        <v>40.5</v>
      </c>
    </row>
    <row r="944" spans="1:6">
      <c r="A944">
        <v>8074</v>
      </c>
      <c r="B944" t="s">
        <v>1791</v>
      </c>
      <c r="C944">
        <v>21.35</v>
      </c>
      <c r="D944">
        <f>VLOOKUP(A944,收盤價!A:C,3,0)</f>
        <v>23.95</v>
      </c>
      <c r="E944" s="163">
        <v>0.1217798594847774</v>
      </c>
      <c r="F944">
        <v>40.44</v>
      </c>
    </row>
    <row r="945" spans="1:6">
      <c r="A945">
        <v>4429</v>
      </c>
      <c r="B945" t="s">
        <v>379</v>
      </c>
      <c r="C945">
        <v>21</v>
      </c>
      <c r="D945">
        <f>VLOOKUP(A945,收盤價!A:C,3,0)</f>
        <v>23.55</v>
      </c>
      <c r="E945" s="163">
        <v>0.12142857142857147</v>
      </c>
      <c r="F945">
        <v>40.380000000000003</v>
      </c>
    </row>
    <row r="946" spans="1:6">
      <c r="A946">
        <v>2308</v>
      </c>
      <c r="B946" t="s">
        <v>798</v>
      </c>
      <c r="C946">
        <v>140</v>
      </c>
      <c r="D946">
        <f>VLOOKUP(A946,收盤價!A:C,3,0)</f>
        <v>157</v>
      </c>
      <c r="E946" s="163">
        <v>0.12142857142857143</v>
      </c>
      <c r="F946">
        <v>40.32</v>
      </c>
    </row>
    <row r="947" spans="1:6">
      <c r="A947">
        <v>8114</v>
      </c>
      <c r="B947" t="s">
        <v>1348</v>
      </c>
      <c r="C947">
        <v>136</v>
      </c>
      <c r="D947">
        <f>VLOOKUP(A947,收盤價!A:C,3,0)</f>
        <v>152.5</v>
      </c>
      <c r="E947" s="163">
        <v>0.12132352941176471</v>
      </c>
      <c r="F947">
        <v>40.25</v>
      </c>
    </row>
    <row r="948" spans="1:6">
      <c r="A948">
        <v>1785</v>
      </c>
      <c r="B948" t="s">
        <v>1447</v>
      </c>
      <c r="C948">
        <v>16.95</v>
      </c>
      <c r="D948">
        <f>VLOOKUP(A948,收盤價!A:C,3,0)</f>
        <v>19</v>
      </c>
      <c r="E948" s="163">
        <v>0.12094395280235994</v>
      </c>
      <c r="F948">
        <v>40.19</v>
      </c>
    </row>
    <row r="949" spans="1:6">
      <c r="A949">
        <v>5493</v>
      </c>
      <c r="B949" t="s">
        <v>1684</v>
      </c>
      <c r="C949">
        <v>28.15</v>
      </c>
      <c r="D949">
        <f>VLOOKUP(A949,收盤價!A:C,3,0)</f>
        <v>31.55</v>
      </c>
      <c r="E949" s="163">
        <v>0.12078152753108357</v>
      </c>
      <c r="F949">
        <v>40.130000000000003</v>
      </c>
    </row>
    <row r="950" spans="1:6">
      <c r="A950">
        <v>2801</v>
      </c>
      <c r="B950" t="s">
        <v>996</v>
      </c>
      <c r="C950">
        <v>14.1</v>
      </c>
      <c r="D950">
        <f>VLOOKUP(A950,收盤價!A:C,3,0)</f>
        <v>15.8</v>
      </c>
      <c r="E950" s="163">
        <v>0.1205673758865249</v>
      </c>
      <c r="F950">
        <v>40.06</v>
      </c>
    </row>
    <row r="951" spans="1:6">
      <c r="A951">
        <v>1608</v>
      </c>
      <c r="B951" t="s">
        <v>685</v>
      </c>
      <c r="C951">
        <v>6.14</v>
      </c>
      <c r="D951">
        <f>VLOOKUP(A951,收盤價!A:C,3,0)</f>
        <v>6.88</v>
      </c>
      <c r="E951" s="163">
        <v>0.12052117263843652</v>
      </c>
      <c r="F951">
        <v>40</v>
      </c>
    </row>
    <row r="952" spans="1:6">
      <c r="A952">
        <v>2867</v>
      </c>
      <c r="B952" t="s">
        <v>1015</v>
      </c>
      <c r="C952">
        <v>16.25</v>
      </c>
      <c r="D952">
        <f>VLOOKUP(A952,收盤價!A:C,3,0)</f>
        <v>18.2</v>
      </c>
      <c r="E952" s="163">
        <v>0.11999999999999995</v>
      </c>
      <c r="F952">
        <v>39.94</v>
      </c>
    </row>
    <row r="953" spans="1:6">
      <c r="A953">
        <v>4924</v>
      </c>
      <c r="B953" t="s">
        <v>1623</v>
      </c>
      <c r="C953">
        <v>7.17</v>
      </c>
      <c r="D953">
        <f>VLOOKUP(A953,收盤價!A:C,3,0)</f>
        <v>8.0299999999999994</v>
      </c>
      <c r="E953" s="163">
        <v>0.11994421199442112</v>
      </c>
      <c r="F953">
        <v>39.869999999999997</v>
      </c>
    </row>
    <row r="954" spans="1:6">
      <c r="A954">
        <v>1514</v>
      </c>
      <c r="B954" t="s">
        <v>650</v>
      </c>
      <c r="C954">
        <v>7.39</v>
      </c>
      <c r="D954">
        <f>VLOOKUP(A954,收盤價!A:C,3,0)</f>
        <v>8.27</v>
      </c>
      <c r="E954" s="163">
        <v>0.11907983761840324</v>
      </c>
      <c r="F954">
        <v>39.81</v>
      </c>
    </row>
    <row r="955" spans="1:6">
      <c r="A955">
        <v>3702</v>
      </c>
      <c r="B955" t="s">
        <v>1173</v>
      </c>
      <c r="C955">
        <v>28.6</v>
      </c>
      <c r="D955">
        <f>VLOOKUP(A955,收盤價!A:C,3,0)</f>
        <v>32</v>
      </c>
      <c r="E955" s="163">
        <v>0.11888111888111882</v>
      </c>
      <c r="F955">
        <v>39.75</v>
      </c>
    </row>
    <row r="956" spans="1:6">
      <c r="A956">
        <v>3339</v>
      </c>
      <c r="B956" t="s">
        <v>1508</v>
      </c>
      <c r="C956">
        <v>3.55</v>
      </c>
      <c r="D956">
        <f>VLOOKUP(A956,收盤價!A:C,3,0)</f>
        <v>3.97</v>
      </c>
      <c r="E956" s="163">
        <v>0.11830985915492968</v>
      </c>
      <c r="F956">
        <v>39.68</v>
      </c>
    </row>
    <row r="957" spans="1:6">
      <c r="A957">
        <v>1104</v>
      </c>
      <c r="B957" t="s">
        <v>547</v>
      </c>
      <c r="C957">
        <v>19.899999999999999</v>
      </c>
      <c r="D957">
        <f>VLOOKUP(A957,收盤價!A:C,3,0)</f>
        <v>22.25</v>
      </c>
      <c r="E957" s="163">
        <v>0.11809045226130661</v>
      </c>
      <c r="F957">
        <v>39.619999999999997</v>
      </c>
    </row>
    <row r="958" spans="1:6">
      <c r="A958">
        <v>6190</v>
      </c>
      <c r="B958" t="s">
        <v>466</v>
      </c>
      <c r="C958">
        <v>5.26</v>
      </c>
      <c r="D958">
        <f>VLOOKUP(A958,收盤價!A:C,3,0)</f>
        <v>5.88</v>
      </c>
      <c r="E958" s="163">
        <v>0.1178707224334601</v>
      </c>
      <c r="F958">
        <v>39.56</v>
      </c>
    </row>
    <row r="959" spans="1:6">
      <c r="A959">
        <v>6234</v>
      </c>
      <c r="B959" t="s">
        <v>477</v>
      </c>
      <c r="C959">
        <v>16.55</v>
      </c>
      <c r="D959">
        <f>VLOOKUP(A959,收盤價!A:C,3,0)</f>
        <v>18.5</v>
      </c>
      <c r="E959" s="163">
        <v>0.11782477341389723</v>
      </c>
      <c r="F959">
        <v>39.5</v>
      </c>
    </row>
    <row r="960" spans="1:6">
      <c r="A960">
        <v>2841</v>
      </c>
      <c r="B960" t="s">
        <v>1006</v>
      </c>
      <c r="C960">
        <v>9.35</v>
      </c>
      <c r="D960">
        <f>VLOOKUP(A960,收盤價!A:C,3,0)</f>
        <v>10.45</v>
      </c>
      <c r="E960" s="163">
        <v>0.11764705882352938</v>
      </c>
      <c r="F960">
        <v>39.43</v>
      </c>
    </row>
    <row r="961" spans="1:6">
      <c r="A961">
        <v>5353</v>
      </c>
      <c r="B961" t="s">
        <v>1663</v>
      </c>
      <c r="C961">
        <v>8.1</v>
      </c>
      <c r="D961">
        <f>VLOOKUP(A961,收盤價!A:C,3,0)</f>
        <v>9.0500000000000007</v>
      </c>
      <c r="E961" s="163">
        <v>0.11728395061728408</v>
      </c>
      <c r="F961">
        <v>39.369999999999997</v>
      </c>
    </row>
    <row r="962" spans="1:6">
      <c r="A962">
        <v>3066</v>
      </c>
      <c r="B962" t="s">
        <v>1466</v>
      </c>
      <c r="C962">
        <v>7.43</v>
      </c>
      <c r="D962">
        <f>VLOOKUP(A962,收盤價!A:C,3,0)</f>
        <v>8.3000000000000007</v>
      </c>
      <c r="E962" s="163">
        <v>0.11709286675639315</v>
      </c>
      <c r="F962">
        <v>39.31</v>
      </c>
    </row>
    <row r="963" spans="1:6">
      <c r="A963">
        <v>3259</v>
      </c>
      <c r="B963" t="s">
        <v>1493</v>
      </c>
      <c r="C963">
        <v>24.35</v>
      </c>
      <c r="D963">
        <f>VLOOKUP(A963,收盤價!A:C,3,0)</f>
        <v>27.2</v>
      </c>
      <c r="E963" s="163">
        <v>0.11704312114989723</v>
      </c>
      <c r="F963">
        <v>39.24</v>
      </c>
    </row>
    <row r="964" spans="1:6">
      <c r="A964">
        <v>6210</v>
      </c>
      <c r="B964" t="s">
        <v>1744</v>
      </c>
      <c r="C964">
        <v>40.299999999999997</v>
      </c>
      <c r="D964">
        <f>VLOOKUP(A964,收盤價!A:C,3,0)</f>
        <v>45</v>
      </c>
      <c r="E964" s="163">
        <v>0.11662531017369734</v>
      </c>
      <c r="F964">
        <v>39.18</v>
      </c>
    </row>
    <row r="965" spans="1:6">
      <c r="A965">
        <v>2033</v>
      </c>
      <c r="B965" t="s">
        <v>768</v>
      </c>
      <c r="C965">
        <v>8.33</v>
      </c>
      <c r="D965">
        <f>VLOOKUP(A965,收盤價!A:C,3,0)</f>
        <v>9.3000000000000007</v>
      </c>
      <c r="E965" s="163">
        <v>0.11644657863145266</v>
      </c>
      <c r="F965">
        <v>39.119999999999997</v>
      </c>
    </row>
    <row r="966" spans="1:6">
      <c r="A966">
        <v>5471</v>
      </c>
      <c r="B966" t="s">
        <v>1239</v>
      </c>
      <c r="C966">
        <v>31.4</v>
      </c>
      <c r="D966">
        <f>VLOOKUP(A966,收盤價!A:C,3,0)</f>
        <v>35.049999999999997</v>
      </c>
      <c r="E966" s="163">
        <v>0.11624203821656047</v>
      </c>
      <c r="F966">
        <v>39.049999999999997</v>
      </c>
    </row>
    <row r="967" spans="1:6">
      <c r="A967">
        <v>1781</v>
      </c>
      <c r="B967" t="s">
        <v>1445</v>
      </c>
      <c r="C967">
        <v>21.95</v>
      </c>
      <c r="D967">
        <f>VLOOKUP(A967,收盤價!A:C,3,0)</f>
        <v>24.5</v>
      </c>
      <c r="E967" s="163">
        <v>0.11617312072892942</v>
      </c>
      <c r="F967">
        <v>38.99</v>
      </c>
    </row>
    <row r="968" spans="1:6">
      <c r="A968">
        <v>1435</v>
      </c>
      <c r="B968" t="s">
        <v>606</v>
      </c>
      <c r="C968">
        <v>4.4000000000000004</v>
      </c>
      <c r="D968">
        <f>VLOOKUP(A968,收盤價!A:C,3,0)</f>
        <v>4.91</v>
      </c>
      <c r="E968" s="163">
        <v>0.11590909090909085</v>
      </c>
      <c r="F968">
        <v>38.93</v>
      </c>
    </row>
    <row r="969" spans="1:6">
      <c r="A969">
        <v>8931</v>
      </c>
      <c r="B969" t="s">
        <v>1840</v>
      </c>
      <c r="C969">
        <v>19</v>
      </c>
      <c r="D969">
        <f>VLOOKUP(A969,收盤價!A:C,3,0)</f>
        <v>21.2</v>
      </c>
      <c r="E969" s="163">
        <v>0.11578947368421048</v>
      </c>
      <c r="F969">
        <v>38.86</v>
      </c>
    </row>
    <row r="970" spans="1:6">
      <c r="A970">
        <v>2108</v>
      </c>
      <c r="B970" t="s">
        <v>781</v>
      </c>
      <c r="C970">
        <v>21.6</v>
      </c>
      <c r="D970">
        <f>VLOOKUP(A970,收盤價!A:C,3,0)</f>
        <v>24.1</v>
      </c>
      <c r="E970" s="163">
        <v>0.11574074074074073</v>
      </c>
      <c r="F970">
        <v>38.799999999999997</v>
      </c>
    </row>
    <row r="971" spans="1:6">
      <c r="A971">
        <v>3374</v>
      </c>
      <c r="B971" t="s">
        <v>324</v>
      </c>
      <c r="C971">
        <v>29.85</v>
      </c>
      <c r="D971">
        <f>VLOOKUP(A971,收盤價!A:C,3,0)</f>
        <v>33.299999999999997</v>
      </c>
      <c r="E971" s="163">
        <v>0.11557788944723603</v>
      </c>
      <c r="F971">
        <v>38.74</v>
      </c>
    </row>
    <row r="972" spans="1:6">
      <c r="A972">
        <v>2547</v>
      </c>
      <c r="B972" t="s">
        <v>963</v>
      </c>
      <c r="C972">
        <v>10.4</v>
      </c>
      <c r="D972">
        <f>VLOOKUP(A972,收盤價!A:C,3,0)</f>
        <v>11.6</v>
      </c>
      <c r="E972" s="163">
        <v>0.11538461538461531</v>
      </c>
      <c r="F972">
        <v>38.68</v>
      </c>
    </row>
    <row r="973" spans="1:6">
      <c r="A973">
        <v>2809</v>
      </c>
      <c r="B973" t="s">
        <v>997</v>
      </c>
      <c r="C973">
        <v>20.8</v>
      </c>
      <c r="D973">
        <f>VLOOKUP(A973,收盤價!A:C,3,0)</f>
        <v>23.2</v>
      </c>
      <c r="E973" s="163">
        <v>0.11538461538461531</v>
      </c>
      <c r="F973">
        <v>38.61</v>
      </c>
    </row>
    <row r="974" spans="1:6">
      <c r="A974">
        <v>4974</v>
      </c>
      <c r="B974" t="s">
        <v>399</v>
      </c>
      <c r="C974">
        <v>33</v>
      </c>
      <c r="D974">
        <f>VLOOKUP(A974,收盤價!A:C,3,0)</f>
        <v>36.799999999999997</v>
      </c>
      <c r="E974" s="163">
        <v>0.11515151515151506</v>
      </c>
      <c r="F974">
        <v>38.549999999999997</v>
      </c>
    </row>
    <row r="975" spans="1:6">
      <c r="A975">
        <v>8040</v>
      </c>
      <c r="B975" t="s">
        <v>1778</v>
      </c>
      <c r="C975">
        <v>6.8</v>
      </c>
      <c r="D975">
        <f>VLOOKUP(A975,收盤價!A:C,3,0)</f>
        <v>7.58</v>
      </c>
      <c r="E975" s="163">
        <v>0.11470588235294121</v>
      </c>
      <c r="F975">
        <v>38.49</v>
      </c>
    </row>
    <row r="976" spans="1:6">
      <c r="A976">
        <v>5511</v>
      </c>
      <c r="B976" t="s">
        <v>1687</v>
      </c>
      <c r="C976">
        <v>21.9</v>
      </c>
      <c r="D976">
        <f>VLOOKUP(A976,收盤價!A:C,3,0)</f>
        <v>24.4</v>
      </c>
      <c r="E976" s="163">
        <v>0.11415525114155252</v>
      </c>
      <c r="F976">
        <v>38.42</v>
      </c>
    </row>
    <row r="977" spans="1:6">
      <c r="A977">
        <v>6281</v>
      </c>
      <c r="B977" t="s">
        <v>1311</v>
      </c>
      <c r="C977">
        <v>50</v>
      </c>
      <c r="D977">
        <f>VLOOKUP(A977,收盤價!A:C,3,0)</f>
        <v>55.7</v>
      </c>
      <c r="E977" s="163">
        <v>0.11400000000000006</v>
      </c>
      <c r="F977">
        <v>38.36</v>
      </c>
    </row>
    <row r="978" spans="1:6">
      <c r="A978">
        <v>6183</v>
      </c>
      <c r="B978" t="s">
        <v>1282</v>
      </c>
      <c r="C978">
        <v>23.3</v>
      </c>
      <c r="D978">
        <f>VLOOKUP(A978,收盤價!A:C,3,0)</f>
        <v>25.95</v>
      </c>
      <c r="E978" s="163">
        <v>0.11373390557939908</v>
      </c>
      <c r="F978">
        <v>38.299999999999997</v>
      </c>
    </row>
    <row r="979" spans="1:6">
      <c r="A979">
        <v>2038</v>
      </c>
      <c r="B979" t="s">
        <v>770</v>
      </c>
      <c r="C979">
        <v>5.17</v>
      </c>
      <c r="D979">
        <f>VLOOKUP(A979,收盤價!A:C,3,0)</f>
        <v>5.75</v>
      </c>
      <c r="E979" s="163">
        <v>0.11218568665377178</v>
      </c>
      <c r="F979">
        <v>38.229999999999997</v>
      </c>
    </row>
    <row r="980" spans="1:6">
      <c r="A980">
        <v>6105</v>
      </c>
      <c r="B980" t="s">
        <v>1708</v>
      </c>
      <c r="C980">
        <v>37.5</v>
      </c>
      <c r="D980">
        <f>VLOOKUP(A980,收盤價!A:C,3,0)</f>
        <v>41.7</v>
      </c>
      <c r="E980" s="163">
        <v>0.11200000000000007</v>
      </c>
      <c r="F980">
        <v>38.17</v>
      </c>
    </row>
    <row r="981" spans="1:6">
      <c r="A981">
        <v>6224</v>
      </c>
      <c r="B981" t="s">
        <v>1298</v>
      </c>
      <c r="C981">
        <v>59.1</v>
      </c>
      <c r="D981">
        <f>VLOOKUP(A981,收盤價!A:C,3,0)</f>
        <v>65.7</v>
      </c>
      <c r="E981" s="163">
        <v>0.11167512690355332</v>
      </c>
      <c r="F981">
        <v>38.11</v>
      </c>
    </row>
    <row r="982" spans="1:6">
      <c r="A982">
        <v>6023</v>
      </c>
      <c r="B982" t="s">
        <v>1704</v>
      </c>
      <c r="C982">
        <v>32.299999999999997</v>
      </c>
      <c r="D982">
        <f>VLOOKUP(A982,收盤價!A:C,3,0)</f>
        <v>35.9</v>
      </c>
      <c r="E982" s="163">
        <v>0.11145510835913318</v>
      </c>
      <c r="F982">
        <v>38.04</v>
      </c>
    </row>
    <row r="983" spans="1:6">
      <c r="A983">
        <v>8374</v>
      </c>
      <c r="B983" t="s">
        <v>1361</v>
      </c>
      <c r="C983">
        <v>9.27</v>
      </c>
      <c r="D983">
        <f>VLOOKUP(A983,收盤價!A:C,3,0)</f>
        <v>10.3</v>
      </c>
      <c r="E983" s="163">
        <v>0.11111111111111124</v>
      </c>
      <c r="F983">
        <v>37.979999999999997</v>
      </c>
    </row>
    <row r="984" spans="1:6">
      <c r="A984">
        <v>3024</v>
      </c>
      <c r="B984" t="s">
        <v>1061</v>
      </c>
      <c r="C984">
        <v>3.6</v>
      </c>
      <c r="D984">
        <f>VLOOKUP(A984,收盤價!A:C,3,0)</f>
        <v>4</v>
      </c>
      <c r="E984" s="163">
        <v>0.11111111111111108</v>
      </c>
      <c r="F984">
        <v>37.92</v>
      </c>
    </row>
    <row r="985" spans="1:6">
      <c r="A985">
        <v>1235</v>
      </c>
      <c r="B985" t="s">
        <v>567</v>
      </c>
      <c r="C985">
        <v>17.149999999999999</v>
      </c>
      <c r="D985">
        <f>VLOOKUP(A985,收盤價!A:C,3,0)</f>
        <v>19.05</v>
      </c>
      <c r="E985" s="163">
        <v>0.11078717201166194</v>
      </c>
      <c r="F985">
        <v>37.85</v>
      </c>
    </row>
    <row r="986" spans="1:6">
      <c r="A986">
        <v>5345</v>
      </c>
      <c r="B986" t="s">
        <v>422</v>
      </c>
      <c r="C986">
        <v>9.01</v>
      </c>
      <c r="D986">
        <f>VLOOKUP(A986,收盤價!A:C,3,0)</f>
        <v>10</v>
      </c>
      <c r="E986" s="163">
        <v>0.10987791342952277</v>
      </c>
      <c r="F986">
        <v>37.79</v>
      </c>
    </row>
    <row r="987" spans="1:6">
      <c r="A987">
        <v>2701</v>
      </c>
      <c r="B987" t="s">
        <v>985</v>
      </c>
      <c r="C987">
        <v>12.75</v>
      </c>
      <c r="D987">
        <f>VLOOKUP(A987,收盤價!A:C,3,0)</f>
        <v>14.15</v>
      </c>
      <c r="E987" s="163">
        <v>0.10980392156862748</v>
      </c>
      <c r="F987">
        <v>37.729999999999997</v>
      </c>
    </row>
    <row r="988" spans="1:6">
      <c r="A988">
        <v>5227</v>
      </c>
      <c r="B988" t="s">
        <v>1644</v>
      </c>
      <c r="C988">
        <v>27.1</v>
      </c>
      <c r="D988">
        <f>VLOOKUP(A988,收盤價!A:C,3,0)</f>
        <v>30.05</v>
      </c>
      <c r="E988" s="163">
        <v>0.10885608856088558</v>
      </c>
      <c r="F988">
        <v>37.67</v>
      </c>
    </row>
    <row r="989" spans="1:6">
      <c r="A989">
        <v>1515</v>
      </c>
      <c r="B989" t="s">
        <v>651</v>
      </c>
      <c r="C989">
        <v>9.3800000000000008</v>
      </c>
      <c r="D989">
        <f>VLOOKUP(A989,收盤價!A:C,3,0)</f>
        <v>10.4</v>
      </c>
      <c r="E989" s="163">
        <v>0.10874200426439228</v>
      </c>
      <c r="F989">
        <v>37.6</v>
      </c>
    </row>
    <row r="990" spans="1:6">
      <c r="A990">
        <v>5344</v>
      </c>
      <c r="B990" t="s">
        <v>1659</v>
      </c>
      <c r="C990">
        <v>5.26</v>
      </c>
      <c r="D990">
        <f>VLOOKUP(A990,收盤價!A:C,3,0)</f>
        <v>5.83</v>
      </c>
      <c r="E990" s="163">
        <v>0.1083650190114069</v>
      </c>
      <c r="F990">
        <v>37.54</v>
      </c>
    </row>
    <row r="991" spans="1:6">
      <c r="A991">
        <v>1232</v>
      </c>
      <c r="B991" t="s">
        <v>564</v>
      </c>
      <c r="C991">
        <v>67.5</v>
      </c>
      <c r="D991">
        <f>VLOOKUP(A991,收盤價!A:C,3,0)</f>
        <v>74.8</v>
      </c>
      <c r="E991" s="163">
        <v>0.1081481481481481</v>
      </c>
      <c r="F991">
        <v>37.479999999999997</v>
      </c>
    </row>
    <row r="992" spans="1:6">
      <c r="A992">
        <v>3010</v>
      </c>
      <c r="B992" t="s">
        <v>1050</v>
      </c>
      <c r="C992">
        <v>40.25</v>
      </c>
      <c r="D992">
        <f>VLOOKUP(A992,收盤價!A:C,3,0)</f>
        <v>44.6</v>
      </c>
      <c r="E992" s="163">
        <v>0.10807453416149072</v>
      </c>
      <c r="F992">
        <v>37.409999999999997</v>
      </c>
    </row>
    <row r="993" spans="1:6">
      <c r="A993">
        <v>2327</v>
      </c>
      <c r="B993" t="s">
        <v>809</v>
      </c>
      <c r="C993">
        <v>46.3</v>
      </c>
      <c r="D993">
        <f>VLOOKUP(A993,收盤價!A:C,3,0)</f>
        <v>51.3</v>
      </c>
      <c r="E993" s="163">
        <v>0.10799136069114472</v>
      </c>
      <c r="F993">
        <v>37.35</v>
      </c>
    </row>
    <row r="994" spans="1:6">
      <c r="A994">
        <v>3176</v>
      </c>
      <c r="B994" t="s">
        <v>295</v>
      </c>
      <c r="C994">
        <v>77.900000000000006</v>
      </c>
      <c r="D994">
        <f>VLOOKUP(A994,收盤價!A:C,3,0)</f>
        <v>86.3</v>
      </c>
      <c r="E994" s="163">
        <v>0.10783055198973031</v>
      </c>
      <c r="F994">
        <v>37.29</v>
      </c>
    </row>
    <row r="995" spans="1:6">
      <c r="A995">
        <v>3291</v>
      </c>
      <c r="B995" t="s">
        <v>312</v>
      </c>
      <c r="C995">
        <v>14.4</v>
      </c>
      <c r="D995">
        <f>VLOOKUP(A995,收盤價!A:C,3,0)</f>
        <v>15.95</v>
      </c>
      <c r="E995" s="163">
        <v>0.10763888888888881</v>
      </c>
      <c r="F995">
        <v>37.22</v>
      </c>
    </row>
    <row r="996" spans="1:6">
      <c r="A996">
        <v>6217</v>
      </c>
      <c r="B996" t="s">
        <v>1746</v>
      </c>
      <c r="C996">
        <v>40.450000000000003</v>
      </c>
      <c r="D996">
        <f>VLOOKUP(A996,收盤價!A:C,3,0)</f>
        <v>44.8</v>
      </c>
      <c r="E996" s="163">
        <v>0.10754017305315189</v>
      </c>
      <c r="F996">
        <v>37.159999999999997</v>
      </c>
    </row>
    <row r="997" spans="1:6">
      <c r="A997">
        <v>2536</v>
      </c>
      <c r="B997" t="s">
        <v>954</v>
      </c>
      <c r="C997">
        <v>18.649999999999999</v>
      </c>
      <c r="D997">
        <f>VLOOKUP(A997,收盤價!A:C,3,0)</f>
        <v>20.65</v>
      </c>
      <c r="E997" s="163">
        <v>0.10723860589812333</v>
      </c>
      <c r="F997">
        <v>37.1</v>
      </c>
    </row>
    <row r="998" spans="1:6">
      <c r="A998">
        <v>1474</v>
      </c>
      <c r="B998" t="s">
        <v>640</v>
      </c>
      <c r="C998">
        <v>8.14</v>
      </c>
      <c r="D998">
        <f>VLOOKUP(A998,收盤價!A:C,3,0)</f>
        <v>9.01</v>
      </c>
      <c r="E998" s="163">
        <v>0.10687960687960678</v>
      </c>
      <c r="F998">
        <v>37.03</v>
      </c>
    </row>
    <row r="999" spans="1:6">
      <c r="A999">
        <v>2467</v>
      </c>
      <c r="B999" t="s">
        <v>913</v>
      </c>
      <c r="C999">
        <v>11.3</v>
      </c>
      <c r="D999">
        <f>VLOOKUP(A999,收盤價!A:C,3,0)</f>
        <v>12.5</v>
      </c>
      <c r="E999" s="163">
        <v>0.10619469026548665</v>
      </c>
      <c r="F999">
        <v>36.97</v>
      </c>
    </row>
    <row r="1000" spans="1:6">
      <c r="A1000">
        <v>1303</v>
      </c>
      <c r="B1000" t="s">
        <v>571</v>
      </c>
      <c r="C1000">
        <v>53.1</v>
      </c>
      <c r="D1000">
        <f>VLOOKUP(A1000,收盤價!A:C,3,0)</f>
        <v>58.7</v>
      </c>
      <c r="E1000" s="163">
        <v>0.10546139359698684</v>
      </c>
      <c r="F1000">
        <v>36.909999999999997</v>
      </c>
    </row>
    <row r="1001" spans="1:6">
      <c r="A1001">
        <v>6164</v>
      </c>
      <c r="B1001" t="s">
        <v>1275</v>
      </c>
      <c r="C1001">
        <v>9.23</v>
      </c>
      <c r="D1001">
        <f>VLOOKUP(A1001,收盤價!A:C,3,0)</f>
        <v>10.199999999999999</v>
      </c>
      <c r="E1001" s="163">
        <v>0.10509209100758383</v>
      </c>
      <c r="F1001">
        <v>36.85</v>
      </c>
    </row>
    <row r="1002" spans="1:6">
      <c r="A1002">
        <v>6216</v>
      </c>
      <c r="B1002" t="s">
        <v>1297</v>
      </c>
      <c r="C1002">
        <v>24.3</v>
      </c>
      <c r="D1002">
        <f>VLOOKUP(A1002,收盤價!A:C,3,0)</f>
        <v>26.85</v>
      </c>
      <c r="E1002" s="163">
        <v>0.10493827160493829</v>
      </c>
      <c r="F1002">
        <v>36.78</v>
      </c>
    </row>
    <row r="1003" spans="1:6">
      <c r="A1003">
        <v>3071</v>
      </c>
      <c r="B1003" t="s">
        <v>1467</v>
      </c>
      <c r="C1003">
        <v>5.92</v>
      </c>
      <c r="D1003">
        <f>VLOOKUP(A1003,收盤價!A:C,3,0)</f>
        <v>6.54</v>
      </c>
      <c r="E1003" s="163">
        <v>0.10472972972972974</v>
      </c>
      <c r="F1003">
        <v>36.72</v>
      </c>
    </row>
    <row r="1004" spans="1:6">
      <c r="A1004">
        <v>1312</v>
      </c>
      <c r="B1004" t="s">
        <v>578</v>
      </c>
      <c r="C1004">
        <v>14.35</v>
      </c>
      <c r="D1004">
        <f>VLOOKUP(A1004,收盤價!A:C,3,0)</f>
        <v>15.85</v>
      </c>
      <c r="E1004" s="163">
        <v>0.10452961672473868</v>
      </c>
      <c r="F1004">
        <v>36.659999999999997</v>
      </c>
    </row>
    <row r="1005" spans="1:6">
      <c r="A1005">
        <v>2605</v>
      </c>
      <c r="B1005" t="s">
        <v>968</v>
      </c>
      <c r="C1005">
        <v>17.75</v>
      </c>
      <c r="D1005">
        <f>VLOOKUP(A1005,收盤價!A:C,3,0)</f>
        <v>19.600000000000001</v>
      </c>
      <c r="E1005" s="163">
        <v>0.10422535211267614</v>
      </c>
      <c r="F1005">
        <v>36.590000000000003</v>
      </c>
    </row>
    <row r="1006" spans="1:6">
      <c r="A1006">
        <v>4523</v>
      </c>
      <c r="B1006" t="s">
        <v>1600</v>
      </c>
      <c r="C1006">
        <v>15.85</v>
      </c>
      <c r="D1006">
        <f>VLOOKUP(A1006,收盤價!A:C,3,0)</f>
        <v>17.5</v>
      </c>
      <c r="E1006" s="163">
        <v>0.10410094637223977</v>
      </c>
      <c r="F1006">
        <v>36.53</v>
      </c>
    </row>
    <row r="1007" spans="1:6">
      <c r="A1007">
        <v>6229</v>
      </c>
      <c r="B1007" t="s">
        <v>475</v>
      </c>
      <c r="C1007">
        <v>10.1</v>
      </c>
      <c r="D1007">
        <f>VLOOKUP(A1007,收盤價!A:C,3,0)</f>
        <v>11.15</v>
      </c>
      <c r="E1007" s="163">
        <v>0.10396039603960404</v>
      </c>
      <c r="F1007">
        <v>36.47</v>
      </c>
    </row>
    <row r="1008" spans="1:6">
      <c r="A1008">
        <v>8454</v>
      </c>
      <c r="B1008" t="s">
        <v>1368</v>
      </c>
      <c r="C1008">
        <v>197.5</v>
      </c>
      <c r="D1008">
        <f>VLOOKUP(A1008,收盤價!A:C,3,0)</f>
        <v>218</v>
      </c>
      <c r="E1008" s="163">
        <v>0.10379746835443038</v>
      </c>
      <c r="F1008">
        <v>36.4</v>
      </c>
    </row>
    <row r="1009" spans="1:6">
      <c r="A1009">
        <v>2204</v>
      </c>
      <c r="B1009" t="s">
        <v>786</v>
      </c>
      <c r="C1009">
        <v>20.25</v>
      </c>
      <c r="D1009">
        <f>VLOOKUP(A1009,收盤價!A:C,3,0)</f>
        <v>22.35</v>
      </c>
      <c r="E1009" s="163">
        <v>0.10370370370370377</v>
      </c>
      <c r="F1009">
        <v>36.340000000000003</v>
      </c>
    </row>
    <row r="1010" spans="1:6">
      <c r="A1010">
        <v>2704</v>
      </c>
      <c r="B1010" t="s">
        <v>987</v>
      </c>
      <c r="C1010">
        <v>24.6</v>
      </c>
      <c r="D1010">
        <f>VLOOKUP(A1010,收盤價!A:C,3,0)</f>
        <v>27.15</v>
      </c>
      <c r="E1010" s="163">
        <v>0.10365853658536574</v>
      </c>
      <c r="F1010">
        <v>36.28</v>
      </c>
    </row>
    <row r="1011" spans="1:6">
      <c r="A1011">
        <v>3191</v>
      </c>
      <c r="B1011" t="s">
        <v>1483</v>
      </c>
      <c r="C1011">
        <v>15</v>
      </c>
      <c r="D1011">
        <f>VLOOKUP(A1011,收盤價!A:C,3,0)</f>
        <v>16.55</v>
      </c>
      <c r="E1011" s="163">
        <v>0.10333333333333337</v>
      </c>
      <c r="F1011">
        <v>36.21</v>
      </c>
    </row>
    <row r="1012" spans="1:6">
      <c r="A1012">
        <v>6404</v>
      </c>
      <c r="B1012" t="s">
        <v>1768</v>
      </c>
      <c r="C1012">
        <v>39.799999999999997</v>
      </c>
      <c r="D1012">
        <f>VLOOKUP(A1012,收盤價!A:C,3,0)</f>
        <v>43.9</v>
      </c>
      <c r="E1012" s="163">
        <v>0.10301507537688447</v>
      </c>
      <c r="F1012">
        <v>36.15</v>
      </c>
    </row>
    <row r="1013" spans="1:6">
      <c r="A1013">
        <v>8938</v>
      </c>
      <c r="B1013" t="s">
        <v>532</v>
      </c>
      <c r="C1013">
        <v>17</v>
      </c>
      <c r="D1013">
        <f>VLOOKUP(A1013,收盤價!A:C,3,0)</f>
        <v>18.75</v>
      </c>
      <c r="E1013" s="163">
        <v>0.10294117647058823</v>
      </c>
      <c r="F1013">
        <v>36.090000000000003</v>
      </c>
    </row>
    <row r="1014" spans="1:6">
      <c r="A1014">
        <v>2305</v>
      </c>
      <c r="B1014" t="s">
        <v>797</v>
      </c>
      <c r="C1014">
        <v>4.97</v>
      </c>
      <c r="D1014">
        <f>VLOOKUP(A1014,收盤價!A:C,3,0)</f>
        <v>5.48</v>
      </c>
      <c r="E1014" s="163">
        <v>0.10261569416499008</v>
      </c>
      <c r="F1014">
        <v>36.03</v>
      </c>
    </row>
    <row r="1015" spans="1:6">
      <c r="A1015">
        <v>8042</v>
      </c>
      <c r="B1015" t="s">
        <v>1779</v>
      </c>
      <c r="C1015">
        <v>32.9</v>
      </c>
      <c r="D1015">
        <f>VLOOKUP(A1015,收盤價!A:C,3,0)</f>
        <v>36.25</v>
      </c>
      <c r="E1015" s="163">
        <v>0.10182370820668697</v>
      </c>
      <c r="F1015">
        <v>35.96</v>
      </c>
    </row>
    <row r="1016" spans="1:6">
      <c r="A1016">
        <v>6221</v>
      </c>
      <c r="B1016" t="s">
        <v>472</v>
      </c>
      <c r="C1016">
        <v>21.2</v>
      </c>
      <c r="D1016">
        <f>VLOOKUP(A1016,收盤價!A:C,3,0)</f>
        <v>23.35</v>
      </c>
      <c r="E1016" s="163">
        <v>0.10141509433962274</v>
      </c>
      <c r="F1016">
        <v>35.9</v>
      </c>
    </row>
    <row r="1017" spans="1:6">
      <c r="A1017">
        <v>6201</v>
      </c>
      <c r="B1017" t="s">
        <v>1289</v>
      </c>
      <c r="C1017">
        <v>22.7</v>
      </c>
      <c r="D1017">
        <f>VLOOKUP(A1017,收盤價!A:C,3,0)</f>
        <v>25</v>
      </c>
      <c r="E1017" s="163">
        <v>0.10132158590308374</v>
      </c>
      <c r="F1017">
        <v>35.840000000000003</v>
      </c>
    </row>
    <row r="1018" spans="1:6">
      <c r="A1018">
        <v>8044</v>
      </c>
      <c r="B1018" t="s">
        <v>1781</v>
      </c>
      <c r="C1018">
        <v>301.5</v>
      </c>
      <c r="D1018">
        <f>VLOOKUP(A1018,收盤價!A:C,3,0)</f>
        <v>332</v>
      </c>
      <c r="E1018" s="163">
        <v>0.1011608623548922</v>
      </c>
      <c r="F1018">
        <v>35.770000000000003</v>
      </c>
    </row>
    <row r="1019" spans="1:6">
      <c r="A1019">
        <v>2101</v>
      </c>
      <c r="B1019" t="s">
        <v>774</v>
      </c>
      <c r="C1019">
        <v>25.3</v>
      </c>
      <c r="D1019">
        <f>VLOOKUP(A1019,收盤價!A:C,3,0)</f>
        <v>27.85</v>
      </c>
      <c r="E1019" s="163">
        <v>0.10079051383399212</v>
      </c>
      <c r="F1019">
        <v>35.71</v>
      </c>
    </row>
    <row r="1020" spans="1:6">
      <c r="A1020">
        <v>3663</v>
      </c>
      <c r="B1020" t="s">
        <v>1551</v>
      </c>
      <c r="C1020">
        <v>15</v>
      </c>
      <c r="D1020">
        <f>VLOOKUP(A1020,收盤價!A:C,3,0)</f>
        <v>16.5</v>
      </c>
      <c r="E1020" s="163">
        <v>0.1</v>
      </c>
      <c r="F1020">
        <v>35.65</v>
      </c>
    </row>
    <row r="1021" spans="1:6">
      <c r="A1021">
        <v>2478</v>
      </c>
      <c r="B1021" t="s">
        <v>920</v>
      </c>
      <c r="C1021">
        <v>13.05</v>
      </c>
      <c r="D1021">
        <f>VLOOKUP(A1021,收盤價!A:C,3,0)</f>
        <v>14.35</v>
      </c>
      <c r="E1021" s="163">
        <v>9.9616858237547803E-2</v>
      </c>
      <c r="F1021">
        <v>35.58</v>
      </c>
    </row>
    <row r="1022" spans="1:6">
      <c r="A1022">
        <v>3438</v>
      </c>
      <c r="B1022" t="s">
        <v>1515</v>
      </c>
      <c r="C1022">
        <v>15.6</v>
      </c>
      <c r="D1022">
        <f>VLOOKUP(A1022,收盤價!A:C,3,0)</f>
        <v>17.149999999999999</v>
      </c>
      <c r="E1022" s="163">
        <v>9.9358974358974297E-2</v>
      </c>
      <c r="F1022">
        <v>35.520000000000003</v>
      </c>
    </row>
    <row r="1023" spans="1:6">
      <c r="A1023">
        <v>5464</v>
      </c>
      <c r="B1023" t="s">
        <v>1675</v>
      </c>
      <c r="C1023">
        <v>15.6</v>
      </c>
      <c r="D1023">
        <f>VLOOKUP(A1023,收盤價!A:C,3,0)</f>
        <v>17.149999999999999</v>
      </c>
      <c r="E1023" s="163">
        <v>9.9358974358974297E-2</v>
      </c>
      <c r="F1023">
        <v>35.46</v>
      </c>
    </row>
    <row r="1024" spans="1:6">
      <c r="A1024">
        <v>6198</v>
      </c>
      <c r="B1024" t="s">
        <v>1740</v>
      </c>
      <c r="C1024">
        <v>14.1</v>
      </c>
      <c r="D1024">
        <f>VLOOKUP(A1024,收盤價!A:C,3,0)</f>
        <v>15.5</v>
      </c>
      <c r="E1024" s="163">
        <v>9.9290780141844004E-2</v>
      </c>
      <c r="F1024">
        <v>35.39</v>
      </c>
    </row>
    <row r="1025" spans="1:6">
      <c r="A1025">
        <v>2616</v>
      </c>
      <c r="B1025" t="s">
        <v>979</v>
      </c>
      <c r="C1025">
        <v>20.65</v>
      </c>
      <c r="D1025">
        <f>VLOOKUP(A1025,收盤價!A:C,3,0)</f>
        <v>22.7</v>
      </c>
      <c r="E1025" s="163">
        <v>9.9273607748184056E-2</v>
      </c>
      <c r="F1025">
        <v>35.33</v>
      </c>
    </row>
    <row r="1026" spans="1:6">
      <c r="A1026">
        <v>9930</v>
      </c>
      <c r="B1026" t="s">
        <v>1417</v>
      </c>
      <c r="C1026">
        <v>54.4</v>
      </c>
      <c r="D1026">
        <f>VLOOKUP(A1026,收盤價!A:C,3,0)</f>
        <v>59.8</v>
      </c>
      <c r="E1026" s="163">
        <v>9.9264705882352922E-2</v>
      </c>
      <c r="F1026">
        <v>35.270000000000003</v>
      </c>
    </row>
    <row r="1027" spans="1:6">
      <c r="A1027">
        <v>2608</v>
      </c>
      <c r="B1027" t="s">
        <v>971</v>
      </c>
      <c r="C1027">
        <v>34.799999999999997</v>
      </c>
      <c r="D1027">
        <f>VLOOKUP(A1027,收盤價!A:C,3,0)</f>
        <v>38.25</v>
      </c>
      <c r="E1027" s="163">
        <v>9.9137931034482846E-2</v>
      </c>
      <c r="F1027">
        <v>35.21</v>
      </c>
    </row>
    <row r="1028" spans="1:6">
      <c r="A1028">
        <v>4977</v>
      </c>
      <c r="B1028" t="s">
        <v>1220</v>
      </c>
      <c r="C1028">
        <v>52.5</v>
      </c>
      <c r="D1028">
        <f>VLOOKUP(A1028,收盤價!A:C,3,0)</f>
        <v>57.7</v>
      </c>
      <c r="E1028" s="163">
        <v>9.9047619047619107E-2</v>
      </c>
      <c r="F1028">
        <v>35.14</v>
      </c>
    </row>
    <row r="1029" spans="1:6">
      <c r="A1029">
        <v>1584</v>
      </c>
      <c r="B1029" t="s">
        <v>1440</v>
      </c>
      <c r="C1029">
        <v>13.15</v>
      </c>
      <c r="D1029">
        <f>VLOOKUP(A1029,收盤價!A:C,3,0)</f>
        <v>14.45</v>
      </c>
      <c r="E1029" s="163">
        <v>9.8859315589353527E-2</v>
      </c>
      <c r="F1029">
        <v>35.08</v>
      </c>
    </row>
    <row r="1030" spans="1:6">
      <c r="A1030">
        <v>8411</v>
      </c>
      <c r="B1030" t="s">
        <v>1363</v>
      </c>
      <c r="C1030">
        <v>23.85</v>
      </c>
      <c r="D1030">
        <f>VLOOKUP(A1030,收盤價!A:C,3,0)</f>
        <v>26.2</v>
      </c>
      <c r="E1030" s="163">
        <v>9.8532494758909753E-2</v>
      </c>
      <c r="F1030">
        <v>35.020000000000003</v>
      </c>
    </row>
    <row r="1031" spans="1:6">
      <c r="A1031">
        <v>2105</v>
      </c>
      <c r="B1031" t="s">
        <v>778</v>
      </c>
      <c r="C1031">
        <v>50.1</v>
      </c>
      <c r="D1031">
        <f>VLOOKUP(A1031,收盤價!A:C,3,0)</f>
        <v>55</v>
      </c>
      <c r="E1031" s="163">
        <v>9.7804391217564846E-2</v>
      </c>
      <c r="F1031">
        <v>34.950000000000003</v>
      </c>
    </row>
    <row r="1032" spans="1:6">
      <c r="A1032">
        <v>1808</v>
      </c>
      <c r="B1032" t="s">
        <v>735</v>
      </c>
      <c r="C1032">
        <v>23.05</v>
      </c>
      <c r="D1032">
        <f>VLOOKUP(A1032,收盤價!A:C,3,0)</f>
        <v>25.3</v>
      </c>
      <c r="E1032" s="163">
        <v>9.7613882863340565E-2</v>
      </c>
      <c r="F1032">
        <v>34.89</v>
      </c>
    </row>
    <row r="1033" spans="1:6">
      <c r="A1033">
        <v>8213</v>
      </c>
      <c r="B1033" t="s">
        <v>1354</v>
      </c>
      <c r="C1033">
        <v>29.85</v>
      </c>
      <c r="D1033">
        <f>VLOOKUP(A1033,收盤價!A:C,3,0)</f>
        <v>32.75</v>
      </c>
      <c r="E1033" s="163">
        <v>9.7152428810720212E-2</v>
      </c>
      <c r="F1033">
        <v>34.83</v>
      </c>
    </row>
    <row r="1034" spans="1:6">
      <c r="A1034">
        <v>6101</v>
      </c>
      <c r="B1034" t="s">
        <v>1705</v>
      </c>
      <c r="C1034">
        <v>13.9</v>
      </c>
      <c r="D1034">
        <f>VLOOKUP(A1034,收盤價!A:C,3,0)</f>
        <v>15.25</v>
      </c>
      <c r="E1034" s="163">
        <v>9.7122302158273346E-2</v>
      </c>
      <c r="F1034">
        <v>34.76</v>
      </c>
    </row>
    <row r="1035" spans="1:6">
      <c r="A1035">
        <v>9938</v>
      </c>
      <c r="B1035" t="s">
        <v>1423</v>
      </c>
      <c r="C1035">
        <v>67</v>
      </c>
      <c r="D1035">
        <f>VLOOKUP(A1035,收盤價!A:C,3,0)</f>
        <v>73.5</v>
      </c>
      <c r="E1035" s="163">
        <v>9.7014925373134331E-2</v>
      </c>
      <c r="F1035">
        <v>34.700000000000003</v>
      </c>
    </row>
    <row r="1036" spans="1:6">
      <c r="A1036">
        <v>1444</v>
      </c>
      <c r="B1036" t="s">
        <v>615</v>
      </c>
      <c r="C1036">
        <v>8.25</v>
      </c>
      <c r="D1036">
        <f>VLOOKUP(A1036,收盤價!A:C,3,0)</f>
        <v>9.0500000000000007</v>
      </c>
      <c r="E1036" s="163">
        <v>9.6969696969697053E-2</v>
      </c>
      <c r="F1036">
        <v>34.64</v>
      </c>
    </row>
    <row r="1037" spans="1:6">
      <c r="A1037">
        <v>6192</v>
      </c>
      <c r="B1037" t="s">
        <v>1286</v>
      </c>
      <c r="C1037">
        <v>39.5</v>
      </c>
      <c r="D1037">
        <f>VLOOKUP(A1037,收盤價!A:C,3,0)</f>
        <v>43.3</v>
      </c>
      <c r="E1037" s="163">
        <v>9.620253164556955E-2</v>
      </c>
      <c r="F1037">
        <v>34.57</v>
      </c>
    </row>
    <row r="1038" spans="1:6">
      <c r="A1038">
        <v>8937</v>
      </c>
      <c r="B1038" t="s">
        <v>1845</v>
      </c>
      <c r="C1038">
        <v>10.95</v>
      </c>
      <c r="D1038">
        <f>VLOOKUP(A1038,收盤價!A:C,3,0)</f>
        <v>12</v>
      </c>
      <c r="E1038" s="163">
        <v>9.5890410958904188E-2</v>
      </c>
      <c r="F1038">
        <v>34.51</v>
      </c>
    </row>
    <row r="1039" spans="1:6">
      <c r="A1039">
        <v>3284</v>
      </c>
      <c r="B1039" t="s">
        <v>310</v>
      </c>
      <c r="C1039">
        <v>8.7799999999999994</v>
      </c>
      <c r="D1039">
        <f>VLOOKUP(A1039,收盤價!A:C,3,0)</f>
        <v>9.6199999999999992</v>
      </c>
      <c r="E1039" s="163">
        <v>9.5671981776765364E-2</v>
      </c>
      <c r="F1039">
        <v>34.450000000000003</v>
      </c>
    </row>
    <row r="1040" spans="1:6">
      <c r="A1040">
        <v>6209</v>
      </c>
      <c r="B1040" t="s">
        <v>1293</v>
      </c>
      <c r="C1040">
        <v>13.65</v>
      </c>
      <c r="D1040">
        <f>VLOOKUP(A1040,收盤價!A:C,3,0)</f>
        <v>14.95</v>
      </c>
      <c r="E1040" s="163">
        <v>9.5238095238095163E-2</v>
      </c>
      <c r="F1040">
        <v>34.380000000000003</v>
      </c>
    </row>
    <row r="1041" spans="1:6">
      <c r="A1041">
        <v>6166</v>
      </c>
      <c r="B1041" t="s">
        <v>1277</v>
      </c>
      <c r="C1041">
        <v>71.5</v>
      </c>
      <c r="D1041">
        <f>VLOOKUP(A1041,收盤價!A:C,3,0)</f>
        <v>78.3</v>
      </c>
      <c r="E1041" s="163">
        <v>9.510489510489506E-2</v>
      </c>
      <c r="F1041">
        <v>34.32</v>
      </c>
    </row>
    <row r="1042" spans="1:6">
      <c r="A1042">
        <v>9157</v>
      </c>
      <c r="B1042" t="s">
        <v>1394</v>
      </c>
      <c r="C1042">
        <v>1.27</v>
      </c>
      <c r="D1042">
        <f>VLOOKUP(A1042,收盤價!A:C,3,0)</f>
        <v>1.39</v>
      </c>
      <c r="E1042" s="163">
        <v>9.4488188976377854E-2</v>
      </c>
      <c r="F1042">
        <v>34.26</v>
      </c>
    </row>
    <row r="1043" spans="1:6">
      <c r="A1043">
        <v>1712</v>
      </c>
      <c r="B1043" t="s">
        <v>704</v>
      </c>
      <c r="C1043">
        <v>12.2</v>
      </c>
      <c r="D1043">
        <f>VLOOKUP(A1043,收盤價!A:C,3,0)</f>
        <v>13.35</v>
      </c>
      <c r="E1043" s="163">
        <v>9.4262295081967248E-2</v>
      </c>
      <c r="F1043">
        <v>34.200000000000003</v>
      </c>
    </row>
    <row r="1044" spans="1:6">
      <c r="A1044">
        <v>2402</v>
      </c>
      <c r="B1044" t="s">
        <v>862</v>
      </c>
      <c r="C1044">
        <v>14.35</v>
      </c>
      <c r="D1044">
        <f>VLOOKUP(A1044,收盤價!A:C,3,0)</f>
        <v>15.7</v>
      </c>
      <c r="E1044" s="163">
        <v>9.4076655052264785E-2</v>
      </c>
      <c r="F1044">
        <v>34.130000000000003</v>
      </c>
    </row>
    <row r="1045" spans="1:6">
      <c r="A1045">
        <v>4503</v>
      </c>
      <c r="B1045" t="s">
        <v>380</v>
      </c>
      <c r="C1045">
        <v>11.7</v>
      </c>
      <c r="D1045">
        <f>VLOOKUP(A1045,收盤價!A:C,3,0)</f>
        <v>12.8</v>
      </c>
      <c r="E1045" s="163">
        <v>9.4017094017094141E-2</v>
      </c>
      <c r="F1045">
        <v>34.07</v>
      </c>
    </row>
    <row r="1046" spans="1:6">
      <c r="A1046">
        <v>2357</v>
      </c>
      <c r="B1046" t="s">
        <v>830</v>
      </c>
      <c r="C1046">
        <v>255.5</v>
      </c>
      <c r="D1046">
        <f>VLOOKUP(A1046,收盤價!A:C,3,0)</f>
        <v>279.5</v>
      </c>
      <c r="E1046" s="163">
        <v>9.393346379647749E-2</v>
      </c>
      <c r="F1046">
        <v>34.01</v>
      </c>
    </row>
    <row r="1047" spans="1:6">
      <c r="A1047">
        <v>1535</v>
      </c>
      <c r="B1047" t="s">
        <v>667</v>
      </c>
      <c r="C1047">
        <v>53.4</v>
      </c>
      <c r="D1047">
        <f>VLOOKUP(A1047,收盤價!A:C,3,0)</f>
        <v>58.4</v>
      </c>
      <c r="E1047" s="163">
        <v>9.3632958801498134E-2</v>
      </c>
      <c r="F1047">
        <v>33.94</v>
      </c>
    </row>
    <row r="1048" spans="1:6">
      <c r="A1048">
        <v>1262</v>
      </c>
      <c r="B1048" t="s">
        <v>569</v>
      </c>
      <c r="C1048">
        <v>112.5</v>
      </c>
      <c r="D1048">
        <f>VLOOKUP(A1048,收盤價!A:C,3,0)</f>
        <v>123</v>
      </c>
      <c r="E1048" s="163">
        <v>9.3333333333333338E-2</v>
      </c>
      <c r="F1048">
        <v>33.880000000000003</v>
      </c>
    </row>
    <row r="1049" spans="1:6">
      <c r="A1049">
        <v>3265</v>
      </c>
      <c r="B1049" t="s">
        <v>307</v>
      </c>
      <c r="C1049">
        <v>18.75</v>
      </c>
      <c r="D1049">
        <f>VLOOKUP(A1049,收盤價!A:C,3,0)</f>
        <v>20.5</v>
      </c>
      <c r="E1049" s="163">
        <v>9.3333333333333338E-2</v>
      </c>
      <c r="F1049">
        <v>33.82</v>
      </c>
    </row>
    <row r="1050" spans="1:6">
      <c r="A1050">
        <v>2380</v>
      </c>
      <c r="B1050" t="s">
        <v>849</v>
      </c>
      <c r="C1050">
        <v>6.75</v>
      </c>
      <c r="D1050">
        <f>VLOOKUP(A1050,收盤價!A:C,3,0)</f>
        <v>7.38</v>
      </c>
      <c r="E1050" s="163">
        <v>9.3333333333333324E-2</v>
      </c>
      <c r="F1050">
        <v>33.75</v>
      </c>
    </row>
    <row r="1051" spans="1:6">
      <c r="A1051">
        <v>6236</v>
      </c>
      <c r="B1051" t="s">
        <v>478</v>
      </c>
      <c r="C1051">
        <v>29.1</v>
      </c>
      <c r="D1051">
        <f>VLOOKUP(A1051,收盤價!A:C,3,0)</f>
        <v>31.8</v>
      </c>
      <c r="E1051" s="163">
        <v>9.2783505154639151E-2</v>
      </c>
      <c r="F1051">
        <v>33.69</v>
      </c>
    </row>
    <row r="1052" spans="1:6">
      <c r="A1052">
        <v>4714</v>
      </c>
      <c r="B1052" t="s">
        <v>388</v>
      </c>
      <c r="C1052">
        <v>7.44</v>
      </c>
      <c r="D1052">
        <f>VLOOKUP(A1052,收盤價!A:C,3,0)</f>
        <v>8.1300000000000008</v>
      </c>
      <c r="E1052" s="163">
        <v>9.274193548387101E-2</v>
      </c>
      <c r="F1052">
        <v>33.630000000000003</v>
      </c>
    </row>
    <row r="1053" spans="1:6">
      <c r="A1053">
        <v>5355</v>
      </c>
      <c r="B1053" t="s">
        <v>424</v>
      </c>
      <c r="C1053">
        <v>6.4</v>
      </c>
      <c r="D1053">
        <f>VLOOKUP(A1053,收盤價!A:C,3,0)</f>
        <v>6.99</v>
      </c>
      <c r="E1053" s="163">
        <v>9.2187499999999978E-2</v>
      </c>
      <c r="F1053">
        <v>33.56</v>
      </c>
    </row>
    <row r="1054" spans="1:6">
      <c r="A1054">
        <v>3680</v>
      </c>
      <c r="B1054" t="s">
        <v>1554</v>
      </c>
      <c r="C1054">
        <v>26.75</v>
      </c>
      <c r="D1054">
        <f>VLOOKUP(A1054,收盤價!A:C,3,0)</f>
        <v>29.2</v>
      </c>
      <c r="E1054" s="163">
        <v>9.1588785046728946E-2</v>
      </c>
      <c r="F1054">
        <v>33.5</v>
      </c>
    </row>
    <row r="1055" spans="1:6">
      <c r="A1055">
        <v>9924</v>
      </c>
      <c r="B1055" t="s">
        <v>1411</v>
      </c>
      <c r="C1055">
        <v>40.4</v>
      </c>
      <c r="D1055">
        <f>VLOOKUP(A1055,收盤價!A:C,3,0)</f>
        <v>44.1</v>
      </c>
      <c r="E1055" s="163">
        <v>9.1584158415841652E-2</v>
      </c>
      <c r="F1055">
        <v>33.44</v>
      </c>
    </row>
    <row r="1056" spans="1:6">
      <c r="A1056">
        <v>6145</v>
      </c>
      <c r="B1056" t="s">
        <v>1271</v>
      </c>
      <c r="C1056">
        <v>10.5</v>
      </c>
      <c r="D1056">
        <f>VLOOKUP(A1056,收盤價!A:C,3,0)</f>
        <v>11.45</v>
      </c>
      <c r="E1056" s="163">
        <v>9.0476190476190405E-2</v>
      </c>
      <c r="F1056">
        <v>33.380000000000003</v>
      </c>
    </row>
    <row r="1057" spans="1:6">
      <c r="A1057">
        <v>4550</v>
      </c>
      <c r="B1057" t="s">
        <v>384</v>
      </c>
      <c r="C1057">
        <v>18.25</v>
      </c>
      <c r="D1057">
        <f>VLOOKUP(A1057,收盤價!A:C,3,0)</f>
        <v>19.899999999999999</v>
      </c>
      <c r="E1057" s="163">
        <v>9.0410958904109509E-2</v>
      </c>
      <c r="F1057">
        <v>33.31</v>
      </c>
    </row>
    <row r="1058" spans="1:6">
      <c r="A1058">
        <v>5531</v>
      </c>
      <c r="B1058" t="s">
        <v>1246</v>
      </c>
      <c r="C1058">
        <v>9.6300000000000008</v>
      </c>
      <c r="D1058">
        <f>VLOOKUP(A1058,收盤價!A:C,3,0)</f>
        <v>10.5</v>
      </c>
      <c r="E1058" s="163">
        <v>9.034267912772577E-2</v>
      </c>
      <c r="F1058">
        <v>33.25</v>
      </c>
    </row>
    <row r="1059" spans="1:6">
      <c r="A1059">
        <v>6247</v>
      </c>
      <c r="B1059" t="s">
        <v>1756</v>
      </c>
      <c r="C1059">
        <v>13.3</v>
      </c>
      <c r="D1059">
        <f>VLOOKUP(A1059,收盤價!A:C,3,0)</f>
        <v>14.5</v>
      </c>
      <c r="E1059" s="163">
        <v>9.0225563909774376E-2</v>
      </c>
      <c r="F1059">
        <v>33.19</v>
      </c>
    </row>
    <row r="1060" spans="1:6">
      <c r="A1060">
        <v>2836</v>
      </c>
      <c r="B1060" t="s">
        <v>1004</v>
      </c>
      <c r="C1060">
        <v>8.1199999999999992</v>
      </c>
      <c r="D1060">
        <f>VLOOKUP(A1060,收盤價!A:C,3,0)</f>
        <v>8.85</v>
      </c>
      <c r="E1060" s="163">
        <v>8.9901477832512372E-2</v>
      </c>
      <c r="F1060">
        <v>33.119999999999997</v>
      </c>
    </row>
    <row r="1061" spans="1:6">
      <c r="A1061">
        <v>6153</v>
      </c>
      <c r="B1061" t="s">
        <v>1273</v>
      </c>
      <c r="C1061">
        <v>22.95</v>
      </c>
      <c r="D1061">
        <f>VLOOKUP(A1061,收盤價!A:C,3,0)</f>
        <v>25</v>
      </c>
      <c r="E1061" s="163">
        <v>8.9324618736383476E-2</v>
      </c>
      <c r="F1061">
        <v>33.06</v>
      </c>
    </row>
    <row r="1062" spans="1:6">
      <c r="A1062">
        <v>2832</v>
      </c>
      <c r="B1062" t="s">
        <v>1002</v>
      </c>
      <c r="C1062">
        <v>19.649999999999999</v>
      </c>
      <c r="D1062">
        <f>VLOOKUP(A1062,收盤價!A:C,3,0)</f>
        <v>21.4</v>
      </c>
      <c r="E1062" s="163">
        <v>8.9058524173027995E-2</v>
      </c>
      <c r="F1062">
        <v>33</v>
      </c>
    </row>
    <row r="1063" spans="1:6">
      <c r="A1063">
        <v>1726</v>
      </c>
      <c r="B1063" t="s">
        <v>716</v>
      </c>
      <c r="C1063">
        <v>64.3</v>
      </c>
      <c r="D1063">
        <f>VLOOKUP(A1063,收盤價!A:C,3,0)</f>
        <v>70</v>
      </c>
      <c r="E1063" s="163">
        <v>8.8646967340591035E-2</v>
      </c>
      <c r="F1063">
        <v>32.93</v>
      </c>
    </row>
    <row r="1064" spans="1:6">
      <c r="A1064">
        <v>6122</v>
      </c>
      <c r="B1064" t="s">
        <v>1715</v>
      </c>
      <c r="C1064">
        <v>5.98</v>
      </c>
      <c r="D1064">
        <f>VLOOKUP(A1064,收盤價!A:C,3,0)</f>
        <v>6.51</v>
      </c>
      <c r="E1064" s="163">
        <v>8.8628762541805906E-2</v>
      </c>
      <c r="F1064">
        <v>32.869999999999997</v>
      </c>
    </row>
    <row r="1065" spans="1:6">
      <c r="A1065">
        <v>2535</v>
      </c>
      <c r="B1065" t="s">
        <v>953</v>
      </c>
      <c r="C1065">
        <v>13</v>
      </c>
      <c r="D1065">
        <f>VLOOKUP(A1065,收盤價!A:C,3,0)</f>
        <v>14.15</v>
      </c>
      <c r="E1065" s="163">
        <v>8.8461538461538494E-2</v>
      </c>
      <c r="F1065">
        <v>32.81</v>
      </c>
    </row>
    <row r="1066" spans="1:6">
      <c r="A1066">
        <v>2227</v>
      </c>
      <c r="B1066" t="s">
        <v>790</v>
      </c>
      <c r="C1066">
        <v>260</v>
      </c>
      <c r="D1066">
        <f>VLOOKUP(A1066,收盤價!A:C,3,0)</f>
        <v>283</v>
      </c>
      <c r="E1066" s="163">
        <v>8.8461538461538466E-2</v>
      </c>
      <c r="F1066">
        <v>32.74</v>
      </c>
    </row>
    <row r="1067" spans="1:6">
      <c r="A1067">
        <v>1453</v>
      </c>
      <c r="B1067" t="s">
        <v>622</v>
      </c>
      <c r="C1067">
        <v>7.72</v>
      </c>
      <c r="D1067">
        <f>VLOOKUP(A1067,收盤價!A:C,3,0)</f>
        <v>8.4</v>
      </c>
      <c r="E1067" s="163">
        <v>8.8082901554404222E-2</v>
      </c>
      <c r="F1067">
        <v>32.68</v>
      </c>
    </row>
    <row r="1068" spans="1:6">
      <c r="A1068">
        <v>3581</v>
      </c>
      <c r="B1068" t="s">
        <v>1542</v>
      </c>
      <c r="C1068">
        <v>12.5</v>
      </c>
      <c r="D1068">
        <f>VLOOKUP(A1068,收盤價!A:C,3,0)</f>
        <v>13.6</v>
      </c>
      <c r="E1068" s="163">
        <v>8.7999999999999967E-2</v>
      </c>
      <c r="F1068">
        <v>32.619999999999997</v>
      </c>
    </row>
    <row r="1069" spans="1:6">
      <c r="A1069">
        <v>1616</v>
      </c>
      <c r="B1069" t="s">
        <v>692</v>
      </c>
      <c r="C1069">
        <v>4.0999999999999996</v>
      </c>
      <c r="D1069">
        <f>VLOOKUP(A1069,收盤價!A:C,3,0)</f>
        <v>4.46</v>
      </c>
      <c r="E1069" s="163">
        <v>8.780487804878058E-2</v>
      </c>
      <c r="F1069">
        <v>32.56</v>
      </c>
    </row>
    <row r="1070" spans="1:6">
      <c r="A1070">
        <v>2712</v>
      </c>
      <c r="B1070" t="s">
        <v>991</v>
      </c>
      <c r="C1070">
        <v>22.3</v>
      </c>
      <c r="D1070">
        <f>VLOOKUP(A1070,收盤價!A:C,3,0)</f>
        <v>24.25</v>
      </c>
      <c r="E1070" s="163">
        <v>8.7443946188340768E-2</v>
      </c>
      <c r="F1070">
        <v>32.49</v>
      </c>
    </row>
    <row r="1071" spans="1:6">
      <c r="A1071">
        <v>3518</v>
      </c>
      <c r="B1071" t="s">
        <v>1136</v>
      </c>
      <c r="C1071">
        <v>33.200000000000003</v>
      </c>
      <c r="D1071">
        <f>VLOOKUP(A1071,收盤價!A:C,3,0)</f>
        <v>36.1</v>
      </c>
      <c r="E1071" s="163">
        <v>8.7349397590361394E-2</v>
      </c>
      <c r="F1071">
        <v>32.43</v>
      </c>
    </row>
    <row r="1072" spans="1:6">
      <c r="A1072">
        <v>1735</v>
      </c>
      <c r="B1072" t="s">
        <v>724</v>
      </c>
      <c r="C1072">
        <v>10.95</v>
      </c>
      <c r="D1072">
        <f>VLOOKUP(A1072,收盤價!A:C,3,0)</f>
        <v>11.9</v>
      </c>
      <c r="E1072" s="163">
        <v>8.6757990867580015E-2</v>
      </c>
      <c r="F1072">
        <v>32.369999999999997</v>
      </c>
    </row>
    <row r="1073" spans="1:6">
      <c r="A1073">
        <v>9918</v>
      </c>
      <c r="B1073" t="s">
        <v>1408</v>
      </c>
      <c r="C1073">
        <v>28.9</v>
      </c>
      <c r="D1073">
        <f>VLOOKUP(A1073,收盤價!A:C,3,0)</f>
        <v>31.4</v>
      </c>
      <c r="E1073" s="163">
        <v>8.6505190311418692E-2</v>
      </c>
      <c r="F1073">
        <v>32.299999999999997</v>
      </c>
    </row>
    <row r="1074" spans="1:6">
      <c r="A1074">
        <v>4205</v>
      </c>
      <c r="B1074" t="s">
        <v>1583</v>
      </c>
      <c r="C1074">
        <v>35.9</v>
      </c>
      <c r="D1074">
        <f>VLOOKUP(A1074,收盤價!A:C,3,0)</f>
        <v>39</v>
      </c>
      <c r="E1074" s="163">
        <v>8.6350974930362159E-2</v>
      </c>
      <c r="F1074">
        <v>32.24</v>
      </c>
    </row>
    <row r="1075" spans="1:6">
      <c r="A1075">
        <v>2022</v>
      </c>
      <c r="B1075" t="s">
        <v>758</v>
      </c>
      <c r="C1075">
        <v>3.59</v>
      </c>
      <c r="D1075">
        <f>VLOOKUP(A1075,收盤價!A:C,3,0)</f>
        <v>3.9</v>
      </c>
      <c r="E1075" s="163">
        <v>8.6350974930362132E-2</v>
      </c>
      <c r="F1075">
        <v>32.18</v>
      </c>
    </row>
    <row r="1076" spans="1:6">
      <c r="A1076">
        <v>4305</v>
      </c>
      <c r="B1076" t="s">
        <v>1586</v>
      </c>
      <c r="C1076">
        <v>24.4</v>
      </c>
      <c r="D1076">
        <f>VLOOKUP(A1076,收盤價!A:C,3,0)</f>
        <v>26.5</v>
      </c>
      <c r="E1076" s="163">
        <v>8.6065573770491871E-2</v>
      </c>
      <c r="F1076">
        <v>32.11</v>
      </c>
    </row>
    <row r="1077" spans="1:6">
      <c r="A1077">
        <v>1423</v>
      </c>
      <c r="B1077" t="s">
        <v>603</v>
      </c>
      <c r="C1077">
        <v>6.4</v>
      </c>
      <c r="D1077">
        <f>VLOOKUP(A1077,收盤價!A:C,3,0)</f>
        <v>6.95</v>
      </c>
      <c r="E1077" s="163">
        <v>8.5937499999999972E-2</v>
      </c>
      <c r="F1077">
        <v>32.049999999999997</v>
      </c>
    </row>
    <row r="1078" spans="1:6">
      <c r="A1078">
        <v>9103</v>
      </c>
      <c r="B1078" t="s">
        <v>1373</v>
      </c>
      <c r="C1078">
        <v>1.75</v>
      </c>
      <c r="D1078">
        <f>VLOOKUP(A1078,收盤價!A:C,3,0)</f>
        <v>1.9</v>
      </c>
      <c r="E1078" s="163">
        <v>8.571428571428566E-2</v>
      </c>
      <c r="F1078">
        <v>31.99</v>
      </c>
    </row>
    <row r="1079" spans="1:6">
      <c r="A1079">
        <v>5880</v>
      </c>
      <c r="B1079" t="s">
        <v>1254</v>
      </c>
      <c r="C1079">
        <v>12.85</v>
      </c>
      <c r="D1079">
        <f>VLOOKUP(A1079,收盤價!A:C,3,0)</f>
        <v>13.95</v>
      </c>
      <c r="E1079" s="163">
        <v>8.56031128404669E-2</v>
      </c>
      <c r="F1079">
        <v>31.92</v>
      </c>
    </row>
    <row r="1080" spans="1:6">
      <c r="A1080">
        <v>5392</v>
      </c>
      <c r="B1080" t="s">
        <v>1668</v>
      </c>
      <c r="C1080">
        <v>47.9</v>
      </c>
      <c r="D1080">
        <f>VLOOKUP(A1080,收盤價!A:C,3,0)</f>
        <v>52</v>
      </c>
      <c r="E1080" s="163">
        <v>8.5594989561586676E-2</v>
      </c>
      <c r="F1080">
        <v>31.86</v>
      </c>
    </row>
    <row r="1081" spans="1:6">
      <c r="A1081">
        <v>2392</v>
      </c>
      <c r="B1081" t="s">
        <v>856</v>
      </c>
      <c r="C1081">
        <v>42</v>
      </c>
      <c r="D1081">
        <f>VLOOKUP(A1081,收盤價!A:C,3,0)</f>
        <v>45.55</v>
      </c>
      <c r="E1081" s="163">
        <v>8.4523809523809459E-2</v>
      </c>
      <c r="F1081">
        <v>31.8</v>
      </c>
    </row>
    <row r="1082" spans="1:6">
      <c r="A1082">
        <v>1773</v>
      </c>
      <c r="B1082" t="s">
        <v>728</v>
      </c>
      <c r="C1082">
        <v>37.35</v>
      </c>
      <c r="D1082">
        <f>VLOOKUP(A1082,收盤價!A:C,3,0)</f>
        <v>40.5</v>
      </c>
      <c r="E1082" s="163">
        <v>8.4337349397590314E-2</v>
      </c>
      <c r="F1082">
        <v>31.74</v>
      </c>
    </row>
    <row r="1083" spans="1:6">
      <c r="A1083">
        <v>3388</v>
      </c>
      <c r="B1083" t="s">
        <v>325</v>
      </c>
      <c r="C1083">
        <v>57</v>
      </c>
      <c r="D1083">
        <f>VLOOKUP(A1083,收盤價!A:C,3,0)</f>
        <v>61.8</v>
      </c>
      <c r="E1083" s="163">
        <v>8.421052631578943E-2</v>
      </c>
      <c r="F1083">
        <v>31.67</v>
      </c>
    </row>
    <row r="1084" spans="1:6">
      <c r="A1084">
        <v>2395</v>
      </c>
      <c r="B1084" t="s">
        <v>858</v>
      </c>
      <c r="C1084">
        <v>198</v>
      </c>
      <c r="D1084">
        <f>VLOOKUP(A1084,收盤價!A:C,3,0)</f>
        <v>214.5</v>
      </c>
      <c r="E1084" s="163">
        <v>8.3333333333333329E-2</v>
      </c>
      <c r="F1084">
        <v>31.61</v>
      </c>
    </row>
    <row r="1085" spans="1:6">
      <c r="A1085">
        <v>8033</v>
      </c>
      <c r="B1085" t="s">
        <v>1337</v>
      </c>
      <c r="C1085">
        <v>8.6999999999999993</v>
      </c>
      <c r="D1085">
        <f>VLOOKUP(A1085,收盤價!A:C,3,0)</f>
        <v>9.42</v>
      </c>
      <c r="E1085" s="163">
        <v>8.2758620689655255E-2</v>
      </c>
      <c r="F1085">
        <v>31.55</v>
      </c>
    </row>
    <row r="1086" spans="1:6">
      <c r="A1086">
        <v>6136</v>
      </c>
      <c r="B1086" t="s">
        <v>1267</v>
      </c>
      <c r="C1086">
        <v>21.3</v>
      </c>
      <c r="D1086">
        <f>VLOOKUP(A1086,收盤價!A:C,3,0)</f>
        <v>23.05</v>
      </c>
      <c r="E1086" s="163">
        <v>8.2159624413145532E-2</v>
      </c>
      <c r="F1086">
        <v>31.48</v>
      </c>
    </row>
    <row r="1087" spans="1:6">
      <c r="A1087">
        <v>1507</v>
      </c>
      <c r="B1087" t="s">
        <v>647</v>
      </c>
      <c r="C1087">
        <v>42.9</v>
      </c>
      <c r="D1087">
        <f>VLOOKUP(A1087,收盤價!A:C,3,0)</f>
        <v>46.4</v>
      </c>
      <c r="E1087" s="163">
        <v>8.1585081585081584E-2</v>
      </c>
      <c r="F1087">
        <v>31.42</v>
      </c>
    </row>
    <row r="1088" spans="1:6">
      <c r="A1088">
        <v>1103</v>
      </c>
      <c r="B1088" t="s">
        <v>546</v>
      </c>
      <c r="C1088">
        <v>8.83</v>
      </c>
      <c r="D1088">
        <f>VLOOKUP(A1088,收盤價!A:C,3,0)</f>
        <v>9.5500000000000007</v>
      </c>
      <c r="E1088" s="163">
        <v>8.1540203850509696E-2</v>
      </c>
      <c r="F1088">
        <v>31.36</v>
      </c>
    </row>
    <row r="1089" spans="1:6">
      <c r="A1089">
        <v>4972</v>
      </c>
      <c r="B1089" t="s">
        <v>1630</v>
      </c>
      <c r="C1089">
        <v>32.700000000000003</v>
      </c>
      <c r="D1089">
        <f>VLOOKUP(A1089,收盤價!A:C,3,0)</f>
        <v>35.35</v>
      </c>
      <c r="E1089" s="163">
        <v>8.1039755351681911E-2</v>
      </c>
      <c r="F1089">
        <v>31.29</v>
      </c>
    </row>
    <row r="1090" spans="1:6">
      <c r="A1090">
        <v>2613</v>
      </c>
      <c r="B1090" t="s">
        <v>976</v>
      </c>
      <c r="C1090">
        <v>12.35</v>
      </c>
      <c r="D1090">
        <f>VLOOKUP(A1090,收盤價!A:C,3,0)</f>
        <v>13.35</v>
      </c>
      <c r="E1090" s="163">
        <v>8.0971659919028341E-2</v>
      </c>
      <c r="F1090">
        <v>31.23</v>
      </c>
    </row>
    <row r="1091" spans="1:6">
      <c r="A1091">
        <v>1513</v>
      </c>
      <c r="B1091" t="s">
        <v>649</v>
      </c>
      <c r="C1091">
        <v>15.5</v>
      </c>
      <c r="D1091">
        <f>VLOOKUP(A1091,收盤價!A:C,3,0)</f>
        <v>16.75</v>
      </c>
      <c r="E1091" s="163">
        <v>8.0645161290322578E-2</v>
      </c>
      <c r="F1091">
        <v>31.17</v>
      </c>
    </row>
    <row r="1092" spans="1:6">
      <c r="A1092">
        <v>9917</v>
      </c>
      <c r="B1092" t="s">
        <v>1407</v>
      </c>
      <c r="C1092">
        <v>84.6</v>
      </c>
      <c r="D1092">
        <f>VLOOKUP(A1092,收盤價!A:C,3,0)</f>
        <v>91.4</v>
      </c>
      <c r="E1092" s="163">
        <v>8.0378250591016692E-2</v>
      </c>
      <c r="F1092">
        <v>31.1</v>
      </c>
    </row>
    <row r="1093" spans="1:6">
      <c r="A1093">
        <v>1315</v>
      </c>
      <c r="B1093" t="s">
        <v>582</v>
      </c>
      <c r="C1093">
        <v>21.4</v>
      </c>
      <c r="D1093">
        <f>VLOOKUP(A1093,收盤價!A:C,3,0)</f>
        <v>23.1</v>
      </c>
      <c r="E1093" s="163">
        <v>7.9439252336448732E-2</v>
      </c>
      <c r="F1093">
        <v>31.04</v>
      </c>
    </row>
    <row r="1094" spans="1:6">
      <c r="A1094">
        <v>6121</v>
      </c>
      <c r="B1094" t="s">
        <v>452</v>
      </c>
      <c r="C1094">
        <v>99.6</v>
      </c>
      <c r="D1094">
        <f>VLOOKUP(A1094,收盤價!A:C,3,0)</f>
        <v>107.5</v>
      </c>
      <c r="E1094" s="163">
        <v>7.9317269076305277E-2</v>
      </c>
      <c r="F1094">
        <v>30.98</v>
      </c>
    </row>
    <row r="1095" spans="1:6">
      <c r="A1095">
        <v>5457</v>
      </c>
      <c r="B1095" t="s">
        <v>435</v>
      </c>
      <c r="C1095">
        <v>25.6</v>
      </c>
      <c r="D1095">
        <f>VLOOKUP(A1095,收盤價!A:C,3,0)</f>
        <v>27.6</v>
      </c>
      <c r="E1095" s="163">
        <v>7.8125E-2</v>
      </c>
      <c r="F1095">
        <v>30.91</v>
      </c>
    </row>
    <row r="1096" spans="1:6">
      <c r="A1096">
        <v>4712</v>
      </c>
      <c r="B1096" t="s">
        <v>387</v>
      </c>
      <c r="C1096">
        <v>7.05</v>
      </c>
      <c r="D1096">
        <f>VLOOKUP(A1096,收盤價!A:C,3,0)</f>
        <v>7.6</v>
      </c>
      <c r="E1096" s="163">
        <v>7.8014184397163094E-2</v>
      </c>
      <c r="F1096">
        <v>30.85</v>
      </c>
    </row>
    <row r="1097" spans="1:6">
      <c r="A1097">
        <v>9939</v>
      </c>
      <c r="B1097" t="s">
        <v>1424</v>
      </c>
      <c r="C1097">
        <v>44.25</v>
      </c>
      <c r="D1097">
        <f>VLOOKUP(A1097,收盤價!A:C,3,0)</f>
        <v>47.7</v>
      </c>
      <c r="E1097" s="163">
        <v>7.7966101694915316E-2</v>
      </c>
      <c r="F1097">
        <v>30.79</v>
      </c>
    </row>
    <row r="1098" spans="1:6">
      <c r="A1098">
        <v>2889</v>
      </c>
      <c r="B1098" t="s">
        <v>1025</v>
      </c>
      <c r="C1098">
        <v>6.82</v>
      </c>
      <c r="D1098">
        <f>VLOOKUP(A1098,收盤價!A:C,3,0)</f>
        <v>7.35</v>
      </c>
      <c r="E1098" s="163">
        <v>7.771260997067439E-2</v>
      </c>
      <c r="F1098">
        <v>30.73</v>
      </c>
    </row>
    <row r="1099" spans="1:6">
      <c r="A1099">
        <v>3557</v>
      </c>
      <c r="B1099" t="s">
        <v>1144</v>
      </c>
      <c r="C1099">
        <v>3.63</v>
      </c>
      <c r="D1099">
        <f>VLOOKUP(A1099,收盤價!A:C,3,0)</f>
        <v>3.91</v>
      </c>
      <c r="E1099" s="163">
        <v>7.7134986225895388E-2</v>
      </c>
      <c r="F1099">
        <v>30.66</v>
      </c>
    </row>
    <row r="1100" spans="1:6">
      <c r="A1100">
        <v>1414</v>
      </c>
      <c r="B1100" t="s">
        <v>598</v>
      </c>
      <c r="C1100">
        <v>6.15</v>
      </c>
      <c r="D1100">
        <f>VLOOKUP(A1100,收盤價!A:C,3,0)</f>
        <v>6.62</v>
      </c>
      <c r="E1100" s="163">
        <v>7.6422764227642229E-2</v>
      </c>
      <c r="F1100">
        <v>30.6</v>
      </c>
    </row>
    <row r="1101" spans="1:6">
      <c r="A1101">
        <v>3658</v>
      </c>
      <c r="B1101" t="s">
        <v>357</v>
      </c>
      <c r="C1101">
        <v>1115</v>
      </c>
      <c r="D1101">
        <f>VLOOKUP(A1101,收盤價!A:C,3,0)</f>
        <v>1200</v>
      </c>
      <c r="E1101" s="163">
        <v>7.623318385650224E-2</v>
      </c>
      <c r="F1101">
        <v>30.54</v>
      </c>
    </row>
    <row r="1102" spans="1:6">
      <c r="A1102">
        <v>3211</v>
      </c>
      <c r="B1102" t="s">
        <v>1486</v>
      </c>
      <c r="C1102">
        <v>45.3</v>
      </c>
      <c r="D1102">
        <f>VLOOKUP(A1102,收盤價!A:C,3,0)</f>
        <v>48.75</v>
      </c>
      <c r="E1102" s="163">
        <v>7.6158940397351063E-2</v>
      </c>
      <c r="F1102">
        <v>30.47</v>
      </c>
    </row>
    <row r="1103" spans="1:6">
      <c r="A1103">
        <v>3481</v>
      </c>
      <c r="B1103" t="s">
        <v>1130</v>
      </c>
      <c r="C1103">
        <v>9.48</v>
      </c>
      <c r="D1103">
        <f>VLOOKUP(A1103,收盤價!A:C,3,0)</f>
        <v>10.199999999999999</v>
      </c>
      <c r="E1103" s="163">
        <v>7.5949367088607472E-2</v>
      </c>
      <c r="F1103">
        <v>30.41</v>
      </c>
    </row>
    <row r="1104" spans="1:6">
      <c r="A1104">
        <v>2417</v>
      </c>
      <c r="B1104" t="s">
        <v>872</v>
      </c>
      <c r="C1104">
        <v>8.33</v>
      </c>
      <c r="D1104">
        <f>VLOOKUP(A1104,收盤價!A:C,3,0)</f>
        <v>8.9600000000000009</v>
      </c>
      <c r="E1104" s="163">
        <v>7.5630252100840428E-2</v>
      </c>
      <c r="F1104">
        <v>30.35</v>
      </c>
    </row>
    <row r="1105" spans="1:6">
      <c r="A1105">
        <v>6456</v>
      </c>
      <c r="B1105" t="s">
        <v>1329</v>
      </c>
      <c r="C1105">
        <v>106</v>
      </c>
      <c r="D1105">
        <f>VLOOKUP(A1105,收盤價!A:C,3,0)</f>
        <v>114</v>
      </c>
      <c r="E1105" s="163">
        <v>7.5471698113207544E-2</v>
      </c>
      <c r="F1105">
        <v>30.28</v>
      </c>
    </row>
    <row r="1106" spans="1:6">
      <c r="A1106">
        <v>2611</v>
      </c>
      <c r="B1106" t="s">
        <v>974</v>
      </c>
      <c r="C1106">
        <v>7.3</v>
      </c>
      <c r="D1106">
        <f>VLOOKUP(A1106,收盤價!A:C,3,0)</f>
        <v>7.85</v>
      </c>
      <c r="E1106" s="163">
        <v>7.5342465753424639E-2</v>
      </c>
      <c r="F1106">
        <v>30.22</v>
      </c>
    </row>
    <row r="1107" spans="1:6">
      <c r="A1107">
        <v>3144</v>
      </c>
      <c r="B1107" t="s">
        <v>293</v>
      </c>
      <c r="C1107">
        <v>13.95</v>
      </c>
      <c r="D1107">
        <f>VLOOKUP(A1107,收盤價!A:C,3,0)</f>
        <v>15</v>
      </c>
      <c r="E1107" s="163">
        <v>7.5268817204301133E-2</v>
      </c>
      <c r="F1107">
        <v>30.16</v>
      </c>
    </row>
    <row r="1108" spans="1:6">
      <c r="A1108">
        <v>1531</v>
      </c>
      <c r="B1108" t="s">
        <v>664</v>
      </c>
      <c r="C1108">
        <v>16</v>
      </c>
      <c r="D1108">
        <f>VLOOKUP(A1108,收盤價!A:C,3,0)</f>
        <v>17.2</v>
      </c>
      <c r="E1108" s="163">
        <v>7.4999999999999956E-2</v>
      </c>
      <c r="F1108">
        <v>30.09</v>
      </c>
    </row>
    <row r="1109" spans="1:6">
      <c r="A1109">
        <v>5520</v>
      </c>
      <c r="B1109" t="s">
        <v>1690</v>
      </c>
      <c r="C1109">
        <v>24.2</v>
      </c>
      <c r="D1109">
        <f>VLOOKUP(A1109,收盤價!A:C,3,0)</f>
        <v>26</v>
      </c>
      <c r="E1109" s="163">
        <v>7.4380165289256228E-2</v>
      </c>
      <c r="F1109">
        <v>30.03</v>
      </c>
    </row>
    <row r="1110" spans="1:6">
      <c r="A1110">
        <v>1718</v>
      </c>
      <c r="B1110" t="s">
        <v>709</v>
      </c>
      <c r="C1110">
        <v>8.08</v>
      </c>
      <c r="D1110">
        <f>VLOOKUP(A1110,收盤價!A:C,3,0)</f>
        <v>8.68</v>
      </c>
      <c r="E1110" s="163">
        <v>7.4257425742574212E-2</v>
      </c>
      <c r="F1110">
        <v>29.97</v>
      </c>
    </row>
    <row r="1111" spans="1:6">
      <c r="A1111">
        <v>1540</v>
      </c>
      <c r="B1111" t="s">
        <v>672</v>
      </c>
      <c r="C1111">
        <v>14.9</v>
      </c>
      <c r="D1111">
        <f>VLOOKUP(A1111,收盤價!A:C,3,0)</f>
        <v>16</v>
      </c>
      <c r="E1111" s="163">
        <v>7.3825503355704675E-2</v>
      </c>
      <c r="F1111">
        <v>29.91</v>
      </c>
    </row>
    <row r="1112" spans="1:6">
      <c r="A1112">
        <v>6195</v>
      </c>
      <c r="B1112" t="s">
        <v>467</v>
      </c>
      <c r="C1112">
        <v>45</v>
      </c>
      <c r="D1112">
        <f>VLOOKUP(A1112,收盤價!A:C,3,0)</f>
        <v>48.3</v>
      </c>
      <c r="E1112" s="163">
        <v>7.3333333333333264E-2</v>
      </c>
      <c r="F1112">
        <v>29.84</v>
      </c>
    </row>
    <row r="1113" spans="1:6">
      <c r="A1113">
        <v>2882</v>
      </c>
      <c r="B1113" t="s">
        <v>1018</v>
      </c>
      <c r="C1113">
        <v>41</v>
      </c>
      <c r="D1113">
        <f>VLOOKUP(A1113,收盤價!A:C,3,0)</f>
        <v>44</v>
      </c>
      <c r="E1113" s="163">
        <v>7.3170731707317069E-2</v>
      </c>
      <c r="F1113">
        <v>29.78</v>
      </c>
    </row>
    <row r="1114" spans="1:6">
      <c r="A1114">
        <v>1449</v>
      </c>
      <c r="B1114" t="s">
        <v>619</v>
      </c>
      <c r="C1114">
        <v>5.5</v>
      </c>
      <c r="D1114">
        <f>VLOOKUP(A1114,收盤價!A:C,3,0)</f>
        <v>5.9</v>
      </c>
      <c r="E1114" s="163">
        <v>7.2727272727272793E-2</v>
      </c>
      <c r="F1114">
        <v>29.72</v>
      </c>
    </row>
    <row r="1115" spans="1:6">
      <c r="A1115">
        <v>2545</v>
      </c>
      <c r="B1115" t="s">
        <v>961</v>
      </c>
      <c r="C1115">
        <v>22.4</v>
      </c>
      <c r="D1115">
        <f>VLOOKUP(A1115,收盤價!A:C,3,0)</f>
        <v>24</v>
      </c>
      <c r="E1115" s="163">
        <v>7.1428571428571494E-2</v>
      </c>
      <c r="F1115">
        <v>29.65</v>
      </c>
    </row>
    <row r="1116" spans="1:6">
      <c r="A1116">
        <v>3553</v>
      </c>
      <c r="B1116" t="s">
        <v>343</v>
      </c>
      <c r="C1116">
        <v>12.6</v>
      </c>
      <c r="D1116">
        <f>VLOOKUP(A1116,收盤價!A:C,3,0)</f>
        <v>13.5</v>
      </c>
      <c r="E1116" s="163">
        <v>7.1428571428571452E-2</v>
      </c>
      <c r="F1116">
        <v>29.59</v>
      </c>
    </row>
    <row r="1117" spans="1:6">
      <c r="A1117">
        <v>8424</v>
      </c>
      <c r="B1117" t="s">
        <v>517</v>
      </c>
      <c r="C1117">
        <v>36.15</v>
      </c>
      <c r="D1117">
        <f>VLOOKUP(A1117,收盤價!A:C,3,0)</f>
        <v>38.700000000000003</v>
      </c>
      <c r="E1117" s="163">
        <v>7.0539419087137054E-2</v>
      </c>
      <c r="F1117">
        <v>29.53</v>
      </c>
    </row>
    <row r="1118" spans="1:6">
      <c r="A1118">
        <v>4510</v>
      </c>
      <c r="B1118" t="s">
        <v>1598</v>
      </c>
      <c r="C1118">
        <v>14.2</v>
      </c>
      <c r="D1118">
        <f>VLOOKUP(A1118,收盤價!A:C,3,0)</f>
        <v>15.2</v>
      </c>
      <c r="E1118" s="163">
        <v>7.0422535211267609E-2</v>
      </c>
      <c r="F1118">
        <v>29.46</v>
      </c>
    </row>
    <row r="1119" spans="1:6">
      <c r="A1119">
        <v>3390</v>
      </c>
      <c r="B1119" t="s">
        <v>1512</v>
      </c>
      <c r="C1119">
        <v>13.5</v>
      </c>
      <c r="D1119">
        <f>VLOOKUP(A1119,收盤價!A:C,3,0)</f>
        <v>14.45</v>
      </c>
      <c r="E1119" s="163">
        <v>7.0370370370370319E-2</v>
      </c>
      <c r="F1119">
        <v>29.4</v>
      </c>
    </row>
    <row r="1120" spans="1:6">
      <c r="A1120">
        <v>6112</v>
      </c>
      <c r="B1120" t="s">
        <v>1259</v>
      </c>
      <c r="C1120">
        <v>25</v>
      </c>
      <c r="D1120">
        <f>VLOOKUP(A1120,收盤價!A:C,3,0)</f>
        <v>26.75</v>
      </c>
      <c r="E1120" s="163">
        <v>7.0000000000000007E-2</v>
      </c>
      <c r="F1120">
        <v>29.34</v>
      </c>
    </row>
    <row r="1121" spans="1:6">
      <c r="A1121">
        <v>5014</v>
      </c>
      <c r="B1121" t="s">
        <v>1636</v>
      </c>
      <c r="C1121">
        <v>6.51</v>
      </c>
      <c r="D1121">
        <f>VLOOKUP(A1121,收盤價!A:C,3,0)</f>
        <v>6.96</v>
      </c>
      <c r="E1121" s="163">
        <v>6.9124423963133674E-2</v>
      </c>
      <c r="F1121">
        <v>29.27</v>
      </c>
    </row>
    <row r="1122" spans="1:6">
      <c r="A1122">
        <v>1614</v>
      </c>
      <c r="B1122" t="s">
        <v>690</v>
      </c>
      <c r="C1122">
        <v>23.2</v>
      </c>
      <c r="D1122">
        <f>VLOOKUP(A1122,收盤價!A:C,3,0)</f>
        <v>24.8</v>
      </c>
      <c r="E1122" s="163">
        <v>6.8965517241379379E-2</v>
      </c>
      <c r="F1122">
        <v>29.21</v>
      </c>
    </row>
    <row r="1123" spans="1:6">
      <c r="A1123">
        <v>2443</v>
      </c>
      <c r="B1123" t="s">
        <v>894</v>
      </c>
      <c r="C1123">
        <v>6.7</v>
      </c>
      <c r="D1123">
        <f>VLOOKUP(A1123,收盤價!A:C,3,0)</f>
        <v>7.16</v>
      </c>
      <c r="E1123" s="163">
        <v>6.8656716417910435E-2</v>
      </c>
      <c r="F1123">
        <v>29.15</v>
      </c>
    </row>
    <row r="1124" spans="1:6">
      <c r="A1124">
        <v>3028</v>
      </c>
      <c r="B1124" t="s">
        <v>1065</v>
      </c>
      <c r="C1124">
        <v>14.7</v>
      </c>
      <c r="D1124">
        <f>VLOOKUP(A1124,收盤價!A:C,3,0)</f>
        <v>15.7</v>
      </c>
      <c r="E1124" s="163">
        <v>6.8027210884353748E-2</v>
      </c>
      <c r="F1124">
        <v>29.09</v>
      </c>
    </row>
    <row r="1125" spans="1:6">
      <c r="A1125">
        <v>8150</v>
      </c>
      <c r="B1125" t="s">
        <v>1350</v>
      </c>
      <c r="C1125">
        <v>29.45</v>
      </c>
      <c r="D1125">
        <f>VLOOKUP(A1125,收盤價!A:C,3,0)</f>
        <v>31.45</v>
      </c>
      <c r="E1125" s="163">
        <v>6.7911714770797965E-2</v>
      </c>
      <c r="F1125">
        <v>29.02</v>
      </c>
    </row>
    <row r="1126" spans="1:6">
      <c r="A1126">
        <v>9955</v>
      </c>
      <c r="B1126" t="s">
        <v>1432</v>
      </c>
      <c r="C1126">
        <v>12</v>
      </c>
      <c r="D1126">
        <f>VLOOKUP(A1126,收盤價!A:C,3,0)</f>
        <v>12.8</v>
      </c>
      <c r="E1126" s="163">
        <v>6.6666666666666721E-2</v>
      </c>
      <c r="F1126">
        <v>28.96</v>
      </c>
    </row>
    <row r="1127" spans="1:6">
      <c r="A1127">
        <v>1108</v>
      </c>
      <c r="B1127" t="s">
        <v>548</v>
      </c>
      <c r="C1127">
        <v>9.43</v>
      </c>
      <c r="D1127">
        <f>VLOOKUP(A1127,收盤價!A:C,3,0)</f>
        <v>10.050000000000001</v>
      </c>
      <c r="E1127" s="163">
        <v>6.574761399787922E-2</v>
      </c>
      <c r="F1127">
        <v>28.9</v>
      </c>
    </row>
    <row r="1128" spans="1:6">
      <c r="A1128">
        <v>2880</v>
      </c>
      <c r="B1128" t="s">
        <v>1016</v>
      </c>
      <c r="C1128">
        <v>14.5</v>
      </c>
      <c r="D1128">
        <f>VLOOKUP(A1128,收盤價!A:C,3,0)</f>
        <v>15.45</v>
      </c>
      <c r="E1128" s="163">
        <v>6.5517241379310295E-2</v>
      </c>
      <c r="F1128">
        <v>28.83</v>
      </c>
    </row>
    <row r="1129" spans="1:6">
      <c r="A1129">
        <v>1904</v>
      </c>
      <c r="B1129" t="s">
        <v>741</v>
      </c>
      <c r="C1129">
        <v>10.7</v>
      </c>
      <c r="D1129">
        <f>VLOOKUP(A1129,收盤價!A:C,3,0)</f>
        <v>11.4</v>
      </c>
      <c r="E1129" s="163">
        <v>6.5420560747663656E-2</v>
      </c>
      <c r="F1129">
        <v>28.77</v>
      </c>
    </row>
    <row r="1130" spans="1:6">
      <c r="A1130">
        <v>3073</v>
      </c>
      <c r="B1130" t="s">
        <v>1468</v>
      </c>
      <c r="C1130">
        <v>5.69</v>
      </c>
      <c r="D1130">
        <f>VLOOKUP(A1130,收盤價!A:C,3,0)</f>
        <v>6.06</v>
      </c>
      <c r="E1130" s="163">
        <v>6.5026362038664187E-2</v>
      </c>
      <c r="F1130">
        <v>28.71</v>
      </c>
    </row>
    <row r="1131" spans="1:6">
      <c r="A1131">
        <v>4139</v>
      </c>
      <c r="B1131" t="s">
        <v>1573</v>
      </c>
      <c r="C1131">
        <v>66.8</v>
      </c>
      <c r="D1131">
        <f>VLOOKUP(A1131,收盤價!A:C,3,0)</f>
        <v>71.099999999999994</v>
      </c>
      <c r="E1131" s="163">
        <v>6.4371257485029906E-2</v>
      </c>
      <c r="F1131">
        <v>28.64</v>
      </c>
    </row>
    <row r="1132" spans="1:6">
      <c r="A1132">
        <v>3276</v>
      </c>
      <c r="B1132" t="s">
        <v>1496</v>
      </c>
      <c r="C1132">
        <v>8.1</v>
      </c>
      <c r="D1132">
        <f>VLOOKUP(A1132,收盤價!A:C,3,0)</f>
        <v>8.6199999999999992</v>
      </c>
      <c r="E1132" s="163">
        <v>6.419753086419748E-2</v>
      </c>
      <c r="F1132">
        <v>28.58</v>
      </c>
    </row>
    <row r="1133" spans="1:6">
      <c r="A1133">
        <v>2851</v>
      </c>
      <c r="B1133" t="s">
        <v>1011</v>
      </c>
      <c r="C1133">
        <v>14.05</v>
      </c>
      <c r="D1133">
        <f>VLOOKUP(A1133,收盤價!A:C,3,0)</f>
        <v>14.95</v>
      </c>
      <c r="E1133" s="163">
        <v>6.405693950177925E-2</v>
      </c>
      <c r="F1133">
        <v>28.52</v>
      </c>
    </row>
    <row r="1134" spans="1:6">
      <c r="A1134">
        <v>1325</v>
      </c>
      <c r="B1134" t="s">
        <v>588</v>
      </c>
      <c r="C1134">
        <v>19.649999999999999</v>
      </c>
      <c r="D1134">
        <f>VLOOKUP(A1134,收盤價!A:C,3,0)</f>
        <v>20.9</v>
      </c>
      <c r="E1134" s="163">
        <v>6.3613231552162849E-2</v>
      </c>
      <c r="F1134">
        <v>28.45</v>
      </c>
    </row>
    <row r="1135" spans="1:6">
      <c r="A1135" t="s">
        <v>259</v>
      </c>
      <c r="B1135" t="s">
        <v>746</v>
      </c>
      <c r="C1135">
        <v>37</v>
      </c>
      <c r="D1135">
        <f>VLOOKUP(A1135,收盤價!A:C,3,0)</f>
        <v>39.35</v>
      </c>
      <c r="E1135" s="163">
        <v>6.3513513513513559E-2</v>
      </c>
      <c r="F1135">
        <v>28.39</v>
      </c>
    </row>
    <row r="1136" spans="1:6">
      <c r="A1136">
        <v>2847</v>
      </c>
      <c r="B1136" t="s">
        <v>1008</v>
      </c>
      <c r="C1136">
        <v>12.65</v>
      </c>
      <c r="D1136">
        <f>VLOOKUP(A1136,收盤價!A:C,3,0)</f>
        <v>13.45</v>
      </c>
      <c r="E1136" s="163">
        <v>6.3241106719367501E-2</v>
      </c>
      <c r="F1136">
        <v>28.33</v>
      </c>
    </row>
    <row r="1137" spans="1:6">
      <c r="A1137">
        <v>5533</v>
      </c>
      <c r="B1137" t="s">
        <v>1247</v>
      </c>
      <c r="C1137">
        <v>15.85</v>
      </c>
      <c r="D1137">
        <f>VLOOKUP(A1137,收盤價!A:C,3,0)</f>
        <v>16.850000000000001</v>
      </c>
      <c r="E1137" s="163">
        <v>6.3091482649842379E-2</v>
      </c>
      <c r="F1137">
        <v>28.26</v>
      </c>
    </row>
    <row r="1138" spans="1:6">
      <c r="A1138">
        <v>2375</v>
      </c>
      <c r="B1138" t="s">
        <v>845</v>
      </c>
      <c r="C1138">
        <v>12.7</v>
      </c>
      <c r="D1138">
        <f>VLOOKUP(A1138,收盤價!A:C,3,0)</f>
        <v>13.5</v>
      </c>
      <c r="E1138" s="163">
        <v>6.2992125984252023E-2</v>
      </c>
      <c r="F1138">
        <v>28.2</v>
      </c>
    </row>
    <row r="1139" spans="1:6">
      <c r="A1139">
        <v>6197</v>
      </c>
      <c r="B1139" t="s">
        <v>1288</v>
      </c>
      <c r="C1139">
        <v>27</v>
      </c>
      <c r="D1139">
        <f>VLOOKUP(A1139,收盤價!A:C,3,0)</f>
        <v>28.7</v>
      </c>
      <c r="E1139" s="163">
        <v>6.2962962962962943E-2</v>
      </c>
      <c r="F1139">
        <v>28.14</v>
      </c>
    </row>
    <row r="1140" spans="1:6">
      <c r="A1140">
        <v>2516</v>
      </c>
      <c r="B1140" t="s">
        <v>946</v>
      </c>
      <c r="C1140">
        <v>6.21</v>
      </c>
      <c r="D1140">
        <f>VLOOKUP(A1140,收盤價!A:C,3,0)</f>
        <v>6.6</v>
      </c>
      <c r="E1140" s="163">
        <v>6.2801932367149704E-2</v>
      </c>
      <c r="F1140">
        <v>28.08</v>
      </c>
    </row>
    <row r="1141" spans="1:6">
      <c r="A1141">
        <v>1413</v>
      </c>
      <c r="B1141" t="s">
        <v>597</v>
      </c>
      <c r="C1141">
        <v>7.01</v>
      </c>
      <c r="D1141">
        <f>VLOOKUP(A1141,收盤價!A:C,3,0)</f>
        <v>7.45</v>
      </c>
      <c r="E1141" s="163">
        <v>6.2767475035663392E-2</v>
      </c>
      <c r="F1141">
        <v>28.01</v>
      </c>
    </row>
    <row r="1142" spans="1:6">
      <c r="A1142">
        <v>8443</v>
      </c>
      <c r="B1142" t="s">
        <v>1367</v>
      </c>
      <c r="C1142">
        <v>20.8</v>
      </c>
      <c r="D1142">
        <f>VLOOKUP(A1142,收盤價!A:C,3,0)</f>
        <v>22.1</v>
      </c>
      <c r="E1142" s="163">
        <v>6.2500000000000028E-2</v>
      </c>
      <c r="F1142">
        <v>27.95</v>
      </c>
    </row>
    <row r="1143" spans="1:6">
      <c r="A1143">
        <v>4953</v>
      </c>
      <c r="B1143" t="s">
        <v>1627</v>
      </c>
      <c r="C1143">
        <v>20.2</v>
      </c>
      <c r="D1143">
        <f>VLOOKUP(A1143,收盤價!A:C,3,0)</f>
        <v>21.45</v>
      </c>
      <c r="E1143" s="163">
        <v>6.1881188118811881E-2</v>
      </c>
      <c r="F1143">
        <v>27.89</v>
      </c>
    </row>
    <row r="1144" spans="1:6">
      <c r="A1144">
        <v>5475</v>
      </c>
      <c r="B1144" t="s">
        <v>1677</v>
      </c>
      <c r="C1144">
        <v>3.25</v>
      </c>
      <c r="D1144">
        <f>VLOOKUP(A1144,收盤價!A:C,3,0)</f>
        <v>3.45</v>
      </c>
      <c r="E1144" s="163">
        <v>6.153846153846159E-2</v>
      </c>
      <c r="F1144">
        <v>27.82</v>
      </c>
    </row>
    <row r="1145" spans="1:6">
      <c r="A1145">
        <v>2884</v>
      </c>
      <c r="B1145" t="s">
        <v>1020</v>
      </c>
      <c r="C1145">
        <v>18.2</v>
      </c>
      <c r="D1145">
        <f>VLOOKUP(A1145,收盤價!A:C,3,0)</f>
        <v>19.3</v>
      </c>
      <c r="E1145" s="163">
        <v>6.0439560439560523E-2</v>
      </c>
      <c r="F1145">
        <v>27.76</v>
      </c>
    </row>
    <row r="1146" spans="1:6">
      <c r="A1146">
        <v>5287</v>
      </c>
      <c r="B1146" t="s">
        <v>414</v>
      </c>
      <c r="C1146">
        <v>258</v>
      </c>
      <c r="D1146">
        <f>VLOOKUP(A1146,收盤價!A:C,3,0)</f>
        <v>273.5</v>
      </c>
      <c r="E1146" s="163">
        <v>6.0077519379844964E-2</v>
      </c>
      <c r="F1146">
        <v>27.7</v>
      </c>
    </row>
    <row r="1147" spans="1:6">
      <c r="A1147">
        <v>6504</v>
      </c>
      <c r="B1147" t="s">
        <v>1330</v>
      </c>
      <c r="C1147">
        <v>167</v>
      </c>
      <c r="D1147">
        <f>VLOOKUP(A1147,收盤價!A:C,3,0)</f>
        <v>177</v>
      </c>
      <c r="E1147" s="163">
        <v>5.9880239520958084E-2</v>
      </c>
      <c r="F1147">
        <v>27.63</v>
      </c>
    </row>
    <row r="1148" spans="1:6">
      <c r="A1148">
        <v>5201</v>
      </c>
      <c r="B1148" t="s">
        <v>1638</v>
      </c>
      <c r="C1148">
        <v>11.7</v>
      </c>
      <c r="D1148">
        <f>VLOOKUP(A1148,收盤價!A:C,3,0)</f>
        <v>12.4</v>
      </c>
      <c r="E1148" s="163">
        <v>5.9829059829059922E-2</v>
      </c>
      <c r="F1148">
        <v>27.57</v>
      </c>
    </row>
    <row r="1149" spans="1:6">
      <c r="A1149">
        <v>6276</v>
      </c>
      <c r="B1149" t="s">
        <v>490</v>
      </c>
      <c r="C1149">
        <v>6.69</v>
      </c>
      <c r="D1149">
        <f>VLOOKUP(A1149,收盤價!A:C,3,0)</f>
        <v>7.09</v>
      </c>
      <c r="E1149" s="163">
        <v>5.979073243647226E-2</v>
      </c>
      <c r="F1149">
        <v>27.51</v>
      </c>
    </row>
    <row r="1150" spans="1:6">
      <c r="A1150">
        <v>5512</v>
      </c>
      <c r="B1150" t="s">
        <v>441</v>
      </c>
      <c r="C1150">
        <v>8.73</v>
      </c>
      <c r="D1150">
        <f>VLOOKUP(A1150,收盤價!A:C,3,0)</f>
        <v>9.25</v>
      </c>
      <c r="E1150" s="163">
        <v>5.956471935853374E-2</v>
      </c>
      <c r="F1150">
        <v>27.44</v>
      </c>
    </row>
    <row r="1151" spans="1:6">
      <c r="A1151">
        <v>1589</v>
      </c>
      <c r="B1151" t="s">
        <v>679</v>
      </c>
      <c r="C1151">
        <v>168.5</v>
      </c>
      <c r="D1151">
        <f>VLOOKUP(A1151,收盤價!A:C,3,0)</f>
        <v>178.5</v>
      </c>
      <c r="E1151" s="163">
        <v>5.9347181008902079E-2</v>
      </c>
      <c r="F1151">
        <v>27.38</v>
      </c>
    </row>
    <row r="1152" spans="1:6">
      <c r="A1152">
        <v>6508</v>
      </c>
      <c r="B1152" t="s">
        <v>494</v>
      </c>
      <c r="C1152">
        <v>24.8</v>
      </c>
      <c r="D1152">
        <f>VLOOKUP(A1152,收盤價!A:C,3,0)</f>
        <v>26.25</v>
      </c>
      <c r="E1152" s="163">
        <v>5.846774193548384E-2</v>
      </c>
      <c r="F1152">
        <v>27.32</v>
      </c>
    </row>
    <row r="1153" spans="1:6">
      <c r="A1153">
        <v>4506</v>
      </c>
      <c r="B1153" t="s">
        <v>381</v>
      </c>
      <c r="C1153">
        <v>23.1</v>
      </c>
      <c r="D1153">
        <f>VLOOKUP(A1153,收盤價!A:C,3,0)</f>
        <v>24.45</v>
      </c>
      <c r="E1153" s="163">
        <v>5.8441558441558343E-2</v>
      </c>
      <c r="F1153">
        <v>27.26</v>
      </c>
    </row>
    <row r="1154" spans="1:6">
      <c r="A1154">
        <v>4303</v>
      </c>
      <c r="B1154" t="s">
        <v>1585</v>
      </c>
      <c r="C1154">
        <v>12</v>
      </c>
      <c r="D1154">
        <f>VLOOKUP(A1154,收盤價!A:C,3,0)</f>
        <v>12.7</v>
      </c>
      <c r="E1154" s="163">
        <v>5.8333333333333272E-2</v>
      </c>
      <c r="F1154">
        <v>27.19</v>
      </c>
    </row>
    <row r="1155" spans="1:6">
      <c r="A1155">
        <v>6107</v>
      </c>
      <c r="B1155" t="s">
        <v>1709</v>
      </c>
      <c r="C1155">
        <v>70.400000000000006</v>
      </c>
      <c r="D1155">
        <f>VLOOKUP(A1155,收盤價!A:C,3,0)</f>
        <v>74.5</v>
      </c>
      <c r="E1155" s="163">
        <v>5.8238636363636277E-2</v>
      </c>
      <c r="F1155">
        <v>27.13</v>
      </c>
    </row>
    <row r="1156" spans="1:6">
      <c r="A1156">
        <v>6127</v>
      </c>
      <c r="B1156" t="s">
        <v>1719</v>
      </c>
      <c r="C1156">
        <v>8.6999999999999993</v>
      </c>
      <c r="D1156">
        <f>VLOOKUP(A1156,收盤價!A:C,3,0)</f>
        <v>9.1999999999999993</v>
      </c>
      <c r="E1156" s="163">
        <v>5.7471264367816098E-2</v>
      </c>
      <c r="F1156">
        <v>27.07</v>
      </c>
    </row>
    <row r="1157" spans="1:6">
      <c r="A1157">
        <v>2610</v>
      </c>
      <c r="B1157" t="s">
        <v>973</v>
      </c>
      <c r="C1157">
        <v>11.35</v>
      </c>
      <c r="D1157">
        <f>VLOOKUP(A1157,收盤價!A:C,3,0)</f>
        <v>12</v>
      </c>
      <c r="E1157" s="163">
        <v>5.7268722466960388E-2</v>
      </c>
      <c r="F1157">
        <v>27</v>
      </c>
    </row>
    <row r="1158" spans="1:6">
      <c r="A1158">
        <v>5704</v>
      </c>
      <c r="B1158" t="s">
        <v>1697</v>
      </c>
      <c r="C1158">
        <v>25.5</v>
      </c>
      <c r="D1158">
        <f>VLOOKUP(A1158,收盤價!A:C,3,0)</f>
        <v>26.95</v>
      </c>
      <c r="E1158" s="163">
        <v>5.6862745098039187E-2</v>
      </c>
      <c r="F1158">
        <v>26.94</v>
      </c>
    </row>
    <row r="1159" spans="1:6">
      <c r="A1159">
        <v>3130</v>
      </c>
      <c r="B1159" t="s">
        <v>1099</v>
      </c>
      <c r="C1159">
        <v>132</v>
      </c>
      <c r="D1159">
        <f>VLOOKUP(A1159,收盤價!A:C,3,0)</f>
        <v>139.5</v>
      </c>
      <c r="E1159" s="163">
        <v>5.6818181818181816E-2</v>
      </c>
      <c r="F1159">
        <v>26.88</v>
      </c>
    </row>
    <row r="1160" spans="1:6">
      <c r="A1160">
        <v>2506</v>
      </c>
      <c r="B1160" t="s">
        <v>941</v>
      </c>
      <c r="C1160">
        <v>15</v>
      </c>
      <c r="D1160">
        <f>VLOOKUP(A1160,收盤價!A:C,3,0)</f>
        <v>15.85</v>
      </c>
      <c r="E1160" s="163">
        <v>5.6666666666666643E-2</v>
      </c>
      <c r="F1160">
        <v>26.81</v>
      </c>
    </row>
    <row r="1161" spans="1:6">
      <c r="A1161">
        <v>911619</v>
      </c>
      <c r="B1161" t="s">
        <v>1386</v>
      </c>
      <c r="C1161">
        <v>1.24</v>
      </c>
      <c r="D1161">
        <f>VLOOKUP(A1161,收盤價!A:C,3,0)</f>
        <v>1.31</v>
      </c>
      <c r="E1161" s="163">
        <v>5.645161290322586E-2</v>
      </c>
      <c r="F1161">
        <v>26.75</v>
      </c>
    </row>
    <row r="1162" spans="1:6">
      <c r="A1162">
        <v>3167</v>
      </c>
      <c r="B1162" t="s">
        <v>1102</v>
      </c>
      <c r="C1162">
        <v>24.9</v>
      </c>
      <c r="D1162">
        <f>VLOOKUP(A1162,收盤價!A:C,3,0)</f>
        <v>26.3</v>
      </c>
      <c r="E1162" s="163">
        <v>5.6224899598393663E-2</v>
      </c>
      <c r="F1162">
        <v>26.69</v>
      </c>
    </row>
    <row r="1163" spans="1:6">
      <c r="A1163">
        <v>1220</v>
      </c>
      <c r="B1163" t="s">
        <v>559</v>
      </c>
      <c r="C1163">
        <v>10</v>
      </c>
      <c r="D1163">
        <f>VLOOKUP(A1163,收盤價!A:C,3,0)</f>
        <v>10.55</v>
      </c>
      <c r="E1163" s="163">
        <v>5.500000000000007E-2</v>
      </c>
      <c r="F1163">
        <v>26.62</v>
      </c>
    </row>
    <row r="1164" spans="1:6">
      <c r="A1164">
        <v>5102</v>
      </c>
      <c r="B1164" t="s">
        <v>404</v>
      </c>
      <c r="C1164">
        <v>13.65</v>
      </c>
      <c r="D1164">
        <f>VLOOKUP(A1164,收盤價!A:C,3,0)</f>
        <v>14.4</v>
      </c>
      <c r="E1164" s="163">
        <v>5.4945054945054944E-2</v>
      </c>
      <c r="F1164">
        <v>26.56</v>
      </c>
    </row>
    <row r="1165" spans="1:6">
      <c r="A1165">
        <v>5384</v>
      </c>
      <c r="B1165" t="s">
        <v>427</v>
      </c>
      <c r="C1165">
        <v>11.85</v>
      </c>
      <c r="D1165">
        <f>VLOOKUP(A1165,收盤價!A:C,3,0)</f>
        <v>12.5</v>
      </c>
      <c r="E1165" s="163">
        <v>5.4852320675105516E-2</v>
      </c>
      <c r="F1165">
        <v>26.5</v>
      </c>
    </row>
    <row r="1166" spans="1:6">
      <c r="A1166">
        <v>5820</v>
      </c>
      <c r="B1166" t="s">
        <v>1698</v>
      </c>
      <c r="C1166">
        <v>6.8</v>
      </c>
      <c r="D1166">
        <f>VLOOKUP(A1166,收盤價!A:C,3,0)</f>
        <v>7.17</v>
      </c>
      <c r="E1166" s="163">
        <v>5.4411764705882368E-2</v>
      </c>
      <c r="F1166">
        <v>26.44</v>
      </c>
    </row>
    <row r="1167" spans="1:6">
      <c r="A1167">
        <v>8072</v>
      </c>
      <c r="B1167" t="s">
        <v>1341</v>
      </c>
      <c r="C1167">
        <v>24</v>
      </c>
      <c r="D1167">
        <f>VLOOKUP(A1167,收盤價!A:C,3,0)</f>
        <v>25.3</v>
      </c>
      <c r="E1167" s="163">
        <v>5.4166666666666696E-2</v>
      </c>
      <c r="F1167">
        <v>26.37</v>
      </c>
    </row>
    <row r="1168" spans="1:6">
      <c r="A1168">
        <v>1591</v>
      </c>
      <c r="B1168" t="s">
        <v>1442</v>
      </c>
      <c r="C1168">
        <v>24</v>
      </c>
      <c r="D1168">
        <f>VLOOKUP(A1168,收盤價!A:C,3,0)</f>
        <v>25.3</v>
      </c>
      <c r="E1168" s="163">
        <v>5.4166666666666696E-2</v>
      </c>
      <c r="F1168">
        <v>26.31</v>
      </c>
    </row>
    <row r="1169" spans="1:6">
      <c r="A1169">
        <v>5340</v>
      </c>
      <c r="B1169" t="s">
        <v>1658</v>
      </c>
      <c r="C1169">
        <v>3.33</v>
      </c>
      <c r="D1169">
        <f>VLOOKUP(A1169,收盤價!A:C,3,0)</f>
        <v>3.51</v>
      </c>
      <c r="E1169" s="163">
        <v>5.4054054054053967E-2</v>
      </c>
      <c r="F1169">
        <v>26.25</v>
      </c>
    </row>
    <row r="1170" spans="1:6">
      <c r="A1170">
        <v>6212</v>
      </c>
      <c r="B1170" t="s">
        <v>470</v>
      </c>
      <c r="C1170">
        <v>24.3</v>
      </c>
      <c r="D1170">
        <f>VLOOKUP(A1170,收盤價!A:C,3,0)</f>
        <v>25.6</v>
      </c>
      <c r="E1170" s="163">
        <v>5.3497942386831303E-2</v>
      </c>
      <c r="F1170">
        <v>26.18</v>
      </c>
    </row>
    <row r="1171" spans="1:6">
      <c r="A1171">
        <v>9942</v>
      </c>
      <c r="B1171" t="s">
        <v>1427</v>
      </c>
      <c r="C1171">
        <v>67.3</v>
      </c>
      <c r="D1171">
        <f>VLOOKUP(A1171,收盤價!A:C,3,0)</f>
        <v>70.900000000000006</v>
      </c>
      <c r="E1171" s="163">
        <v>5.3491827637444408E-2</v>
      </c>
      <c r="F1171">
        <v>26.12</v>
      </c>
    </row>
    <row r="1172" spans="1:6">
      <c r="A1172">
        <v>1503</v>
      </c>
      <c r="B1172" t="s">
        <v>644</v>
      </c>
      <c r="C1172">
        <v>37.5</v>
      </c>
      <c r="D1172">
        <f>VLOOKUP(A1172,收盤價!A:C,3,0)</f>
        <v>39.5</v>
      </c>
      <c r="E1172" s="163">
        <v>5.3333333333333337E-2</v>
      </c>
      <c r="F1172">
        <v>26.06</v>
      </c>
    </row>
    <row r="1173" spans="1:6">
      <c r="A1173">
        <v>6108</v>
      </c>
      <c r="B1173" t="s">
        <v>1258</v>
      </c>
      <c r="C1173">
        <v>11.3</v>
      </c>
      <c r="D1173">
        <f>VLOOKUP(A1173,收盤價!A:C,3,0)</f>
        <v>11.9</v>
      </c>
      <c r="E1173" s="163">
        <v>5.3097345132743327E-2</v>
      </c>
      <c r="F1173">
        <v>25.99</v>
      </c>
    </row>
    <row r="1174" spans="1:6">
      <c r="A1174">
        <v>4416</v>
      </c>
      <c r="B1174" t="s">
        <v>378</v>
      </c>
      <c r="C1174">
        <v>86.7</v>
      </c>
      <c r="D1174">
        <f>VLOOKUP(A1174,收盤價!A:C,3,0)</f>
        <v>91.3</v>
      </c>
      <c r="E1174" s="163">
        <v>5.3056516724336727E-2</v>
      </c>
      <c r="F1174">
        <v>25.93</v>
      </c>
    </row>
    <row r="1175" spans="1:6">
      <c r="A1175">
        <v>8054</v>
      </c>
      <c r="B1175" t="s">
        <v>500</v>
      </c>
      <c r="C1175">
        <v>19.95</v>
      </c>
      <c r="D1175">
        <f>VLOOKUP(A1175,收盤價!A:C,3,0)</f>
        <v>21</v>
      </c>
      <c r="E1175" s="163">
        <v>5.263157894736846E-2</v>
      </c>
      <c r="F1175">
        <v>25.87</v>
      </c>
    </row>
    <row r="1176" spans="1:6">
      <c r="A1176">
        <v>4175</v>
      </c>
      <c r="B1176" t="s">
        <v>374</v>
      </c>
      <c r="C1176">
        <v>72.2</v>
      </c>
      <c r="D1176">
        <f>VLOOKUP(A1176,收盤價!A:C,3,0)</f>
        <v>76</v>
      </c>
      <c r="E1176" s="163">
        <v>5.2631578947368376E-2</v>
      </c>
      <c r="F1176">
        <v>25.8</v>
      </c>
    </row>
    <row r="1177" spans="1:6">
      <c r="A1177">
        <v>5212</v>
      </c>
      <c r="B1177" t="s">
        <v>1642</v>
      </c>
      <c r="C1177">
        <v>18.2</v>
      </c>
      <c r="D1177">
        <f>VLOOKUP(A1177,收盤價!A:C,3,0)</f>
        <v>19.149999999999999</v>
      </c>
      <c r="E1177" s="163">
        <v>5.2197802197802158E-2</v>
      </c>
      <c r="F1177">
        <v>25.74</v>
      </c>
    </row>
    <row r="1178" spans="1:6">
      <c r="A1178">
        <v>2904</v>
      </c>
      <c r="B1178" t="s">
        <v>1033</v>
      </c>
      <c r="C1178">
        <v>24.5</v>
      </c>
      <c r="D1178">
        <f>VLOOKUP(A1178,收盤價!A:C,3,0)</f>
        <v>25.75</v>
      </c>
      <c r="E1178" s="163">
        <v>5.1020408163265307E-2</v>
      </c>
      <c r="F1178">
        <v>25.68</v>
      </c>
    </row>
    <row r="1179" spans="1:6">
      <c r="A1179">
        <v>2820</v>
      </c>
      <c r="B1179" t="s">
        <v>1000</v>
      </c>
      <c r="C1179">
        <v>10.95</v>
      </c>
      <c r="D1179">
        <f>VLOOKUP(A1179,收盤價!A:C,3,0)</f>
        <v>11.5</v>
      </c>
      <c r="E1179" s="163">
        <v>5.0228310502283172E-2</v>
      </c>
      <c r="F1179">
        <v>25.62</v>
      </c>
    </row>
    <row r="1180" spans="1:6">
      <c r="A1180">
        <v>1442</v>
      </c>
      <c r="B1180" t="s">
        <v>613</v>
      </c>
      <c r="C1180">
        <v>16.100000000000001</v>
      </c>
      <c r="D1180">
        <f>VLOOKUP(A1180,收盤價!A:C,3,0)</f>
        <v>16.899999999999999</v>
      </c>
      <c r="E1180" s="163">
        <v>4.9689440993788636E-2</v>
      </c>
      <c r="F1180">
        <v>25.55</v>
      </c>
    </row>
    <row r="1181" spans="1:6">
      <c r="A1181">
        <v>1909</v>
      </c>
      <c r="B1181" t="s">
        <v>744</v>
      </c>
      <c r="C1181">
        <v>10.1</v>
      </c>
      <c r="D1181">
        <f>VLOOKUP(A1181,收盤價!A:C,3,0)</f>
        <v>10.6</v>
      </c>
      <c r="E1181" s="163">
        <v>4.9504950495049507E-2</v>
      </c>
      <c r="F1181">
        <v>25.49</v>
      </c>
    </row>
    <row r="1182" spans="1:6">
      <c r="A1182">
        <v>3669</v>
      </c>
      <c r="B1182" t="s">
        <v>1165</v>
      </c>
      <c r="C1182">
        <v>13.4</v>
      </c>
      <c r="D1182">
        <f>VLOOKUP(A1182,收盤價!A:C,3,0)</f>
        <v>14.05</v>
      </c>
      <c r="E1182" s="163">
        <v>4.8507462686567186E-2</v>
      </c>
      <c r="F1182">
        <v>25.43</v>
      </c>
    </row>
    <row r="1183" spans="1:6">
      <c r="A1183">
        <v>4938</v>
      </c>
      <c r="B1183" t="s">
        <v>1213</v>
      </c>
      <c r="C1183">
        <v>74.8</v>
      </c>
      <c r="D1183">
        <f>VLOOKUP(A1183,收盤價!A:C,3,0)</f>
        <v>78.400000000000006</v>
      </c>
      <c r="E1183" s="163">
        <v>4.8128342245989421E-2</v>
      </c>
      <c r="F1183">
        <v>25.36</v>
      </c>
    </row>
    <row r="1184" spans="1:6">
      <c r="A1184">
        <v>6218</v>
      </c>
      <c r="B1184" t="s">
        <v>1747</v>
      </c>
      <c r="C1184">
        <v>15.6</v>
      </c>
      <c r="D1184">
        <f>VLOOKUP(A1184,收盤價!A:C,3,0)</f>
        <v>16.350000000000001</v>
      </c>
      <c r="E1184" s="163">
        <v>4.8076923076923191E-2</v>
      </c>
      <c r="F1184">
        <v>25.3</v>
      </c>
    </row>
    <row r="1185" spans="1:6">
      <c r="A1185">
        <v>5601</v>
      </c>
      <c r="B1185" t="s">
        <v>1693</v>
      </c>
      <c r="C1185">
        <v>25.5</v>
      </c>
      <c r="D1185">
        <f>VLOOKUP(A1185,收盤價!A:C,3,0)</f>
        <v>26.7</v>
      </c>
      <c r="E1185" s="163">
        <v>4.7058823529411736E-2</v>
      </c>
      <c r="F1185">
        <v>25.24</v>
      </c>
    </row>
    <row r="1186" spans="1:6">
      <c r="A1186">
        <v>2347</v>
      </c>
      <c r="B1186" t="s">
        <v>821</v>
      </c>
      <c r="C1186">
        <v>31.1</v>
      </c>
      <c r="D1186">
        <f>VLOOKUP(A1186,收盤價!A:C,3,0)</f>
        <v>32.549999999999997</v>
      </c>
      <c r="E1186" s="163">
        <v>4.662379421221851E-2</v>
      </c>
      <c r="F1186">
        <v>25.17</v>
      </c>
    </row>
    <row r="1187" spans="1:6">
      <c r="A1187">
        <v>2412</v>
      </c>
      <c r="B1187" t="s">
        <v>868</v>
      </c>
      <c r="C1187">
        <v>95.1</v>
      </c>
      <c r="D1187">
        <f>VLOOKUP(A1187,收盤價!A:C,3,0)</f>
        <v>99.5</v>
      </c>
      <c r="E1187" s="163">
        <v>4.6267087276551058E-2</v>
      </c>
      <c r="F1187">
        <v>25.11</v>
      </c>
    </row>
    <row r="1188" spans="1:6">
      <c r="A1188">
        <v>8349</v>
      </c>
      <c r="B1188" t="s">
        <v>1820</v>
      </c>
      <c r="C1188">
        <v>80.2</v>
      </c>
      <c r="D1188">
        <f>VLOOKUP(A1188,收盤價!A:C,3,0)</f>
        <v>83.9</v>
      </c>
      <c r="E1188" s="163">
        <v>4.6134663341645919E-2</v>
      </c>
      <c r="F1188">
        <v>25.05</v>
      </c>
    </row>
    <row r="1189" spans="1:6">
      <c r="A1189">
        <v>1708</v>
      </c>
      <c r="B1189" t="s">
        <v>700</v>
      </c>
      <c r="C1189">
        <v>30.85</v>
      </c>
      <c r="D1189">
        <f>VLOOKUP(A1189,收盤價!A:C,3,0)</f>
        <v>32.25</v>
      </c>
      <c r="E1189" s="163">
        <v>4.5380875202593145E-2</v>
      </c>
      <c r="F1189">
        <v>24.98</v>
      </c>
    </row>
    <row r="1190" spans="1:6">
      <c r="A1190">
        <v>6419</v>
      </c>
      <c r="B1190" t="s">
        <v>1769</v>
      </c>
      <c r="C1190">
        <v>20</v>
      </c>
      <c r="D1190">
        <f>VLOOKUP(A1190,收盤價!A:C,3,0)</f>
        <v>20.9</v>
      </c>
      <c r="E1190" s="163">
        <v>4.4999999999999929E-2</v>
      </c>
      <c r="F1190">
        <v>24.92</v>
      </c>
    </row>
    <row r="1191" spans="1:6">
      <c r="A1191">
        <v>2373</v>
      </c>
      <c r="B1191" t="s">
        <v>843</v>
      </c>
      <c r="C1191">
        <v>49.3</v>
      </c>
      <c r="D1191">
        <f>VLOOKUP(A1191,收盤價!A:C,3,0)</f>
        <v>51.5</v>
      </c>
      <c r="E1191" s="163">
        <v>4.4624746450304321E-2</v>
      </c>
      <c r="F1191">
        <v>24.86</v>
      </c>
    </row>
    <row r="1192" spans="1:6">
      <c r="A1192">
        <v>1445</v>
      </c>
      <c r="B1192" t="s">
        <v>616</v>
      </c>
      <c r="C1192">
        <v>8.75</v>
      </c>
      <c r="D1192">
        <f>VLOOKUP(A1192,收盤價!A:C,3,0)</f>
        <v>9.14</v>
      </c>
      <c r="E1192" s="163">
        <v>4.4571428571428637E-2</v>
      </c>
      <c r="F1192">
        <v>24.79</v>
      </c>
    </row>
    <row r="1193" spans="1:6">
      <c r="A1193">
        <v>2027</v>
      </c>
      <c r="B1193" t="s">
        <v>762</v>
      </c>
      <c r="C1193">
        <v>13.6</v>
      </c>
      <c r="D1193">
        <f>VLOOKUP(A1193,收盤價!A:C,3,0)</f>
        <v>14.2</v>
      </c>
      <c r="E1193" s="163">
        <v>4.4117647058823505E-2</v>
      </c>
      <c r="F1193">
        <v>24.73</v>
      </c>
    </row>
    <row r="1194" spans="1:6">
      <c r="A1194">
        <v>2312</v>
      </c>
      <c r="B1194" t="s">
        <v>800</v>
      </c>
      <c r="C1194">
        <v>9</v>
      </c>
      <c r="D1194">
        <f>VLOOKUP(A1194,收盤價!A:C,3,0)</f>
        <v>9.39</v>
      </c>
      <c r="E1194" s="163">
        <v>4.3333333333333397E-2</v>
      </c>
      <c r="F1194">
        <v>24.67</v>
      </c>
    </row>
    <row r="1195" spans="1:6">
      <c r="A1195">
        <v>8053</v>
      </c>
      <c r="B1195" t="s">
        <v>1786</v>
      </c>
      <c r="C1195">
        <v>1.63</v>
      </c>
      <c r="D1195">
        <f>VLOOKUP(A1195,收盤價!A:C,3,0)</f>
        <v>1.7</v>
      </c>
      <c r="E1195" s="163">
        <v>4.2944785276073663E-2</v>
      </c>
      <c r="F1195">
        <v>24.61</v>
      </c>
    </row>
    <row r="1196" spans="1:6">
      <c r="A1196">
        <v>2030</v>
      </c>
      <c r="B1196" t="s">
        <v>765</v>
      </c>
      <c r="C1196">
        <v>8.9700000000000006</v>
      </c>
      <c r="D1196">
        <f>VLOOKUP(A1196,收盤價!A:C,3,0)</f>
        <v>9.35</v>
      </c>
      <c r="E1196" s="163">
        <v>4.2363433667781378E-2</v>
      </c>
      <c r="F1196">
        <v>24.54</v>
      </c>
    </row>
    <row r="1197" spans="1:6">
      <c r="A1197">
        <v>8103</v>
      </c>
      <c r="B1197" t="s">
        <v>1344</v>
      </c>
      <c r="C1197">
        <v>24</v>
      </c>
      <c r="D1197">
        <f>VLOOKUP(A1197,收盤價!A:C,3,0)</f>
        <v>25</v>
      </c>
      <c r="E1197" s="163">
        <v>4.1666666666666664E-2</v>
      </c>
      <c r="F1197">
        <v>24.48</v>
      </c>
    </row>
    <row r="1198" spans="1:6">
      <c r="A1198">
        <v>5538</v>
      </c>
      <c r="B1198" t="s">
        <v>1249</v>
      </c>
      <c r="C1198">
        <v>24.2</v>
      </c>
      <c r="D1198">
        <f>VLOOKUP(A1198,收盤價!A:C,3,0)</f>
        <v>25.2</v>
      </c>
      <c r="E1198" s="163">
        <v>4.1322314049586778E-2</v>
      </c>
      <c r="F1198">
        <v>24.42</v>
      </c>
    </row>
    <row r="1199" spans="1:6">
      <c r="A1199">
        <v>1236</v>
      </c>
      <c r="B1199" t="s">
        <v>568</v>
      </c>
      <c r="C1199">
        <v>20</v>
      </c>
      <c r="D1199">
        <f>VLOOKUP(A1199,收盤價!A:C,3,0)</f>
        <v>20.8</v>
      </c>
      <c r="E1199" s="163">
        <v>4.0000000000000036E-2</v>
      </c>
      <c r="F1199">
        <v>24.35</v>
      </c>
    </row>
    <row r="1200" spans="1:6">
      <c r="A1200">
        <v>3550</v>
      </c>
      <c r="B1200" t="s">
        <v>1143</v>
      </c>
      <c r="C1200">
        <v>11.4</v>
      </c>
      <c r="D1200">
        <f>VLOOKUP(A1200,收盤價!A:C,3,0)</f>
        <v>11.85</v>
      </c>
      <c r="E1200" s="163">
        <v>3.9473684210526251E-2</v>
      </c>
      <c r="F1200">
        <v>24.29</v>
      </c>
    </row>
    <row r="1201" spans="1:6">
      <c r="A1201">
        <v>8083</v>
      </c>
      <c r="B1201" t="s">
        <v>506</v>
      </c>
      <c r="C1201">
        <v>127</v>
      </c>
      <c r="D1201">
        <f>VLOOKUP(A1201,收盤價!A:C,3,0)</f>
        <v>132</v>
      </c>
      <c r="E1201" s="163">
        <v>3.937007874015748E-2</v>
      </c>
      <c r="F1201">
        <v>24.23</v>
      </c>
    </row>
    <row r="1202" spans="1:6">
      <c r="A1202">
        <v>2511</v>
      </c>
      <c r="B1202" t="s">
        <v>943</v>
      </c>
      <c r="C1202">
        <v>8.7100000000000009</v>
      </c>
      <c r="D1202">
        <f>VLOOKUP(A1202,收盤價!A:C,3,0)</f>
        <v>9.0500000000000007</v>
      </c>
      <c r="E1202" s="163">
        <v>3.9035591274397222E-2</v>
      </c>
      <c r="F1202">
        <v>24.16</v>
      </c>
    </row>
    <row r="1203" spans="1:6">
      <c r="A1203">
        <v>2729</v>
      </c>
      <c r="B1203" t="s">
        <v>1460</v>
      </c>
      <c r="C1203">
        <v>219</v>
      </c>
      <c r="D1203">
        <f>VLOOKUP(A1203,收盤價!A:C,3,0)</f>
        <v>227.5</v>
      </c>
      <c r="E1203" s="163">
        <v>3.8812785388127852E-2</v>
      </c>
      <c r="F1203">
        <v>24.1</v>
      </c>
    </row>
    <row r="1204" spans="1:6">
      <c r="A1204">
        <v>6171</v>
      </c>
      <c r="B1204" t="s">
        <v>461</v>
      </c>
      <c r="C1204">
        <v>12.9</v>
      </c>
      <c r="D1204">
        <f>VLOOKUP(A1204,收盤價!A:C,3,0)</f>
        <v>13.4</v>
      </c>
      <c r="E1204" s="163">
        <v>3.875968992248062E-2</v>
      </c>
      <c r="F1204">
        <v>24.04</v>
      </c>
    </row>
    <row r="1205" spans="1:6">
      <c r="A1205">
        <v>1529</v>
      </c>
      <c r="B1205" t="s">
        <v>662</v>
      </c>
      <c r="C1205">
        <v>4.1399999999999997</v>
      </c>
      <c r="D1205">
        <f>VLOOKUP(A1205,收盤價!A:C,3,0)</f>
        <v>4.3</v>
      </c>
      <c r="E1205" s="163">
        <v>3.8647342995169122E-2</v>
      </c>
      <c r="F1205">
        <v>23.97</v>
      </c>
    </row>
    <row r="1206" spans="1:6">
      <c r="A1206">
        <v>4716</v>
      </c>
      <c r="B1206" t="s">
        <v>1612</v>
      </c>
      <c r="C1206">
        <v>8.8000000000000007</v>
      </c>
      <c r="D1206">
        <f>VLOOKUP(A1206,收盤價!A:C,3,0)</f>
        <v>9.14</v>
      </c>
      <c r="E1206" s="163">
        <v>3.8636363636363615E-2</v>
      </c>
      <c r="F1206">
        <v>23.91</v>
      </c>
    </row>
    <row r="1207" spans="1:6">
      <c r="A1207">
        <v>5703</v>
      </c>
      <c r="B1207" t="s">
        <v>1696</v>
      </c>
      <c r="C1207">
        <v>20.75</v>
      </c>
      <c r="D1207">
        <f>VLOOKUP(A1207,收盤價!A:C,3,0)</f>
        <v>21.55</v>
      </c>
      <c r="E1207" s="163">
        <v>3.8554216867469911E-2</v>
      </c>
      <c r="F1207">
        <v>23.85</v>
      </c>
    </row>
    <row r="1208" spans="1:6">
      <c r="A1208">
        <v>1729</v>
      </c>
      <c r="B1208" t="s">
        <v>718</v>
      </c>
      <c r="C1208">
        <v>67.900000000000006</v>
      </c>
      <c r="D1208">
        <f>VLOOKUP(A1208,收盤價!A:C,3,0)</f>
        <v>70.5</v>
      </c>
      <c r="E1208" s="163">
        <v>3.8291605301914493E-2</v>
      </c>
      <c r="F1208">
        <v>23.79</v>
      </c>
    </row>
    <row r="1209" spans="1:6">
      <c r="A1209">
        <v>1436</v>
      </c>
      <c r="B1209" t="s">
        <v>607</v>
      </c>
      <c r="C1209">
        <v>39.200000000000003</v>
      </c>
      <c r="D1209">
        <f>VLOOKUP(A1209,收盤價!A:C,3,0)</f>
        <v>40.700000000000003</v>
      </c>
      <c r="E1209" s="163">
        <v>3.8265306122448974E-2</v>
      </c>
      <c r="F1209">
        <v>23.72</v>
      </c>
    </row>
    <row r="1210" spans="1:6">
      <c r="A1210">
        <v>4141</v>
      </c>
      <c r="B1210" t="s">
        <v>1184</v>
      </c>
      <c r="C1210">
        <v>28.8</v>
      </c>
      <c r="D1210">
        <f>VLOOKUP(A1210,收盤價!A:C,3,0)</f>
        <v>29.9</v>
      </c>
      <c r="E1210" s="163">
        <v>3.8194444444444371E-2</v>
      </c>
      <c r="F1210">
        <v>23.66</v>
      </c>
    </row>
    <row r="1211" spans="1:6">
      <c r="A1211">
        <v>2023</v>
      </c>
      <c r="B1211" t="s">
        <v>759</v>
      </c>
      <c r="C1211">
        <v>7.12</v>
      </c>
      <c r="D1211">
        <f>VLOOKUP(A1211,收盤價!A:C,3,0)</f>
        <v>7.39</v>
      </c>
      <c r="E1211" s="163">
        <v>3.7921348314606682E-2</v>
      </c>
      <c r="F1211">
        <v>23.6</v>
      </c>
    </row>
    <row r="1212" spans="1:6">
      <c r="A1212">
        <v>1469</v>
      </c>
      <c r="B1212" t="s">
        <v>635</v>
      </c>
      <c r="C1212">
        <v>12.25</v>
      </c>
      <c r="D1212">
        <f>VLOOKUP(A1212,收盤價!A:C,3,0)</f>
        <v>12.7</v>
      </c>
      <c r="E1212" s="163">
        <v>3.6734693877550961E-2</v>
      </c>
      <c r="F1212">
        <v>23.53</v>
      </c>
    </row>
    <row r="1213" spans="1:6">
      <c r="A1213">
        <v>3431</v>
      </c>
      <c r="B1213" t="s">
        <v>1514</v>
      </c>
      <c r="C1213">
        <v>7.38</v>
      </c>
      <c r="D1213">
        <f>VLOOKUP(A1213,收盤價!A:C,3,0)</f>
        <v>7.65</v>
      </c>
      <c r="E1213" s="163">
        <v>3.6585365853658597E-2</v>
      </c>
      <c r="F1213">
        <v>23.47</v>
      </c>
    </row>
    <row r="1214" spans="1:6">
      <c r="A1214">
        <v>6175</v>
      </c>
      <c r="B1214" t="s">
        <v>462</v>
      </c>
      <c r="C1214">
        <v>12.55</v>
      </c>
      <c r="D1214">
        <f>VLOOKUP(A1214,收盤價!A:C,3,0)</f>
        <v>13</v>
      </c>
      <c r="E1214" s="163">
        <v>3.5856573705179223E-2</v>
      </c>
      <c r="F1214">
        <v>23.41</v>
      </c>
    </row>
    <row r="1215" spans="1:6">
      <c r="A1215">
        <v>2838</v>
      </c>
      <c r="B1215" t="s">
        <v>1005</v>
      </c>
      <c r="C1215">
        <v>9.02</v>
      </c>
      <c r="D1215">
        <f>VLOOKUP(A1215,收盤價!A:C,3,0)</f>
        <v>9.34</v>
      </c>
      <c r="E1215" s="163">
        <v>3.5476718403547707E-2</v>
      </c>
      <c r="F1215">
        <v>23.34</v>
      </c>
    </row>
    <row r="1216" spans="1:6">
      <c r="A1216">
        <v>2540</v>
      </c>
      <c r="B1216" t="s">
        <v>958</v>
      </c>
      <c r="C1216">
        <v>32.5</v>
      </c>
      <c r="D1216">
        <f>VLOOKUP(A1216,收盤價!A:C,3,0)</f>
        <v>33.65</v>
      </c>
      <c r="E1216" s="163">
        <v>3.5384615384615341E-2</v>
      </c>
      <c r="F1216">
        <v>23.28</v>
      </c>
    </row>
    <row r="1217" spans="1:6">
      <c r="A1217">
        <v>1580</v>
      </c>
      <c r="B1217" t="s">
        <v>1439</v>
      </c>
      <c r="C1217">
        <v>99</v>
      </c>
      <c r="D1217">
        <f>VLOOKUP(A1217,收盤價!A:C,3,0)</f>
        <v>102.5</v>
      </c>
      <c r="E1217" s="163">
        <v>3.5353535353535352E-2</v>
      </c>
      <c r="F1217">
        <v>23.22</v>
      </c>
    </row>
    <row r="1218" spans="1:6">
      <c r="A1218">
        <v>1593</v>
      </c>
      <c r="B1218" t="s">
        <v>266</v>
      </c>
      <c r="C1218">
        <v>37</v>
      </c>
      <c r="D1218">
        <f>VLOOKUP(A1218,收盤價!A:C,3,0)</f>
        <v>38.299999999999997</v>
      </c>
      <c r="E1218" s="163">
        <v>3.5135135135135061E-2</v>
      </c>
      <c r="F1218">
        <v>23.15</v>
      </c>
    </row>
    <row r="1219" spans="1:6">
      <c r="A1219">
        <v>1219</v>
      </c>
      <c r="B1219" t="s">
        <v>558</v>
      </c>
      <c r="C1219">
        <v>14.3</v>
      </c>
      <c r="D1219">
        <f>VLOOKUP(A1219,收盤價!A:C,3,0)</f>
        <v>14.8</v>
      </c>
      <c r="E1219" s="163">
        <v>3.4965034965034961E-2</v>
      </c>
      <c r="F1219">
        <v>23.09</v>
      </c>
    </row>
    <row r="1220" spans="1:6">
      <c r="A1220">
        <v>1256</v>
      </c>
      <c r="B1220" t="s">
        <v>1435</v>
      </c>
      <c r="C1220">
        <v>129</v>
      </c>
      <c r="D1220">
        <f>VLOOKUP(A1220,收盤價!A:C,3,0)</f>
        <v>133.5</v>
      </c>
      <c r="E1220" s="163">
        <v>3.4883720930232558E-2</v>
      </c>
      <c r="F1220">
        <v>23.03</v>
      </c>
    </row>
    <row r="1221" spans="1:6">
      <c r="A1221">
        <v>5609</v>
      </c>
      <c r="B1221" t="s">
        <v>445</v>
      </c>
      <c r="C1221">
        <v>15.8</v>
      </c>
      <c r="D1221">
        <f>VLOOKUP(A1221,收盤價!A:C,3,0)</f>
        <v>16.350000000000001</v>
      </c>
      <c r="E1221" s="163">
        <v>3.4810126582278528E-2</v>
      </c>
      <c r="F1221">
        <v>22.97</v>
      </c>
    </row>
    <row r="1222" spans="1:6">
      <c r="A1222">
        <v>3531</v>
      </c>
      <c r="B1222" t="s">
        <v>1531</v>
      </c>
      <c r="C1222">
        <v>12.95</v>
      </c>
      <c r="D1222">
        <f>VLOOKUP(A1222,收盤價!A:C,3,0)</f>
        <v>13.4</v>
      </c>
      <c r="E1222" s="163">
        <v>3.4749034749034832E-2</v>
      </c>
      <c r="F1222">
        <v>22.9</v>
      </c>
    </row>
    <row r="1223" spans="1:6">
      <c r="A1223">
        <v>8416</v>
      </c>
      <c r="B1223" t="s">
        <v>514</v>
      </c>
      <c r="C1223">
        <v>93.2</v>
      </c>
      <c r="D1223">
        <f>VLOOKUP(A1223,收盤價!A:C,3,0)</f>
        <v>96.3</v>
      </c>
      <c r="E1223" s="163">
        <v>3.3261802575107233E-2</v>
      </c>
      <c r="F1223">
        <v>22.84</v>
      </c>
    </row>
    <row r="1224" spans="1:6">
      <c r="A1224">
        <v>6222</v>
      </c>
      <c r="B1224" t="s">
        <v>1749</v>
      </c>
      <c r="C1224">
        <v>6.78</v>
      </c>
      <c r="D1224">
        <f>VLOOKUP(A1224,收盤價!A:C,3,0)</f>
        <v>7</v>
      </c>
      <c r="E1224" s="163">
        <v>3.2448377581120909E-2</v>
      </c>
      <c r="F1224">
        <v>22.78</v>
      </c>
    </row>
    <row r="1225" spans="1:6">
      <c r="A1225">
        <v>3360</v>
      </c>
      <c r="B1225" t="s">
        <v>320</v>
      </c>
      <c r="C1225">
        <v>10.9</v>
      </c>
      <c r="D1225">
        <f>VLOOKUP(A1225,收盤價!A:C,3,0)</f>
        <v>11.25</v>
      </c>
      <c r="E1225" s="163">
        <v>3.2110091743119233E-2</v>
      </c>
      <c r="F1225">
        <v>22.71</v>
      </c>
    </row>
    <row r="1226" spans="1:6">
      <c r="A1226">
        <v>5481</v>
      </c>
      <c r="B1226" t="s">
        <v>1679</v>
      </c>
      <c r="C1226">
        <v>15.7</v>
      </c>
      <c r="D1226">
        <f>VLOOKUP(A1226,收盤價!A:C,3,0)</f>
        <v>16.2</v>
      </c>
      <c r="E1226" s="163">
        <v>3.1847133757961783E-2</v>
      </c>
      <c r="F1226">
        <v>22.65</v>
      </c>
    </row>
    <row r="1227" spans="1:6">
      <c r="A1227">
        <v>1316</v>
      </c>
      <c r="B1227" t="s">
        <v>583</v>
      </c>
      <c r="C1227">
        <v>9.5</v>
      </c>
      <c r="D1227">
        <f>VLOOKUP(A1227,收盤價!A:C,3,0)</f>
        <v>9.8000000000000007</v>
      </c>
      <c r="E1227" s="163">
        <v>3.157894736842113E-2</v>
      </c>
      <c r="F1227">
        <v>22.59</v>
      </c>
    </row>
    <row r="1228" spans="1:6">
      <c r="A1228">
        <v>5604</v>
      </c>
      <c r="B1228" t="s">
        <v>1694</v>
      </c>
      <c r="C1228">
        <v>34.9</v>
      </c>
      <c r="D1228">
        <f>VLOOKUP(A1228,收盤價!A:C,3,0)</f>
        <v>36</v>
      </c>
      <c r="E1228" s="163">
        <v>3.1518624641833852E-2</v>
      </c>
      <c r="F1228">
        <v>22.52</v>
      </c>
    </row>
    <row r="1229" spans="1:6">
      <c r="A1229">
        <v>4207</v>
      </c>
      <c r="B1229" t="s">
        <v>1584</v>
      </c>
      <c r="C1229">
        <v>8.94</v>
      </c>
      <c r="D1229">
        <f>VLOOKUP(A1229,收盤價!A:C,3,0)</f>
        <v>9.2200000000000006</v>
      </c>
      <c r="E1229" s="163">
        <v>3.1319910514541513E-2</v>
      </c>
      <c r="F1229">
        <v>22.46</v>
      </c>
    </row>
    <row r="1230" spans="1:6">
      <c r="A1230">
        <v>5291</v>
      </c>
      <c r="B1230" t="s">
        <v>415</v>
      </c>
      <c r="C1230">
        <v>16</v>
      </c>
      <c r="D1230">
        <f>VLOOKUP(A1230,收盤價!A:C,3,0)</f>
        <v>16.5</v>
      </c>
      <c r="E1230" s="163">
        <v>3.125E-2</v>
      </c>
      <c r="F1230">
        <v>22.4</v>
      </c>
    </row>
    <row r="1231" spans="1:6">
      <c r="A1231">
        <v>8032</v>
      </c>
      <c r="B1231" t="s">
        <v>1776</v>
      </c>
      <c r="C1231">
        <v>27.25</v>
      </c>
      <c r="D1231">
        <f>VLOOKUP(A1231,收盤價!A:C,3,0)</f>
        <v>28.1</v>
      </c>
      <c r="E1231" s="163">
        <v>3.1192660550458769E-2</v>
      </c>
      <c r="F1231">
        <v>22.33</v>
      </c>
    </row>
    <row r="1232" spans="1:6">
      <c r="A1232">
        <v>4733</v>
      </c>
      <c r="B1232" t="s">
        <v>1199</v>
      </c>
      <c r="C1232">
        <v>162</v>
      </c>
      <c r="D1232">
        <f>VLOOKUP(A1232,收盤價!A:C,3,0)</f>
        <v>167</v>
      </c>
      <c r="E1232" s="163">
        <v>3.0864197530864196E-2</v>
      </c>
      <c r="F1232">
        <v>22.27</v>
      </c>
    </row>
    <row r="1233" spans="1:6">
      <c r="A1233">
        <v>2349</v>
      </c>
      <c r="B1233" t="s">
        <v>823</v>
      </c>
      <c r="C1233">
        <v>2.64</v>
      </c>
      <c r="D1233">
        <f>VLOOKUP(A1233,收盤價!A:C,3,0)</f>
        <v>2.72</v>
      </c>
      <c r="E1233" s="163">
        <v>3.0303030303030328E-2</v>
      </c>
      <c r="F1233">
        <v>22.21</v>
      </c>
    </row>
    <row r="1234" spans="1:6">
      <c r="A1234">
        <v>2486</v>
      </c>
      <c r="B1234" t="s">
        <v>927</v>
      </c>
      <c r="C1234">
        <v>9.9</v>
      </c>
      <c r="D1234">
        <f>VLOOKUP(A1234,收盤價!A:C,3,0)</f>
        <v>10.199999999999999</v>
      </c>
      <c r="E1234" s="163">
        <v>3.0303030303030193E-2</v>
      </c>
      <c r="F1234">
        <v>22.15</v>
      </c>
    </row>
    <row r="1235" spans="1:6">
      <c r="A1235">
        <v>2302</v>
      </c>
      <c r="B1235" t="s">
        <v>795</v>
      </c>
      <c r="C1235">
        <v>5.98</v>
      </c>
      <c r="D1235">
        <f>VLOOKUP(A1235,收盤價!A:C,3,0)</f>
        <v>6.16</v>
      </c>
      <c r="E1235" s="163">
        <v>3.0100334448160484E-2</v>
      </c>
      <c r="F1235">
        <v>22.08</v>
      </c>
    </row>
    <row r="1236" spans="1:6">
      <c r="A1236">
        <v>9110</v>
      </c>
      <c r="B1236" t="s">
        <v>1381</v>
      </c>
      <c r="C1236">
        <v>3.66</v>
      </c>
      <c r="D1236">
        <f>VLOOKUP(A1236,收盤價!A:C,3,0)</f>
        <v>3.77</v>
      </c>
      <c r="E1236" s="163">
        <v>3.0054644808743133E-2</v>
      </c>
      <c r="F1236">
        <v>22.02</v>
      </c>
    </row>
    <row r="1237" spans="1:6">
      <c r="A1237">
        <v>1617</v>
      </c>
      <c r="B1237" t="s">
        <v>693</v>
      </c>
      <c r="C1237">
        <v>6.69</v>
      </c>
      <c r="D1237">
        <f>VLOOKUP(A1237,收盤價!A:C,3,0)</f>
        <v>6.89</v>
      </c>
      <c r="E1237" s="163">
        <v>2.9895366218236064E-2</v>
      </c>
      <c r="F1237">
        <v>21.96</v>
      </c>
    </row>
    <row r="1238" spans="1:6">
      <c r="A1238">
        <v>5515</v>
      </c>
      <c r="B1238" t="s">
        <v>1241</v>
      </c>
      <c r="C1238">
        <v>8.4</v>
      </c>
      <c r="D1238">
        <f>VLOOKUP(A1238,收盤價!A:C,3,0)</f>
        <v>8.65</v>
      </c>
      <c r="E1238" s="163">
        <v>2.976190476190476E-2</v>
      </c>
      <c r="F1238">
        <v>21.89</v>
      </c>
    </row>
    <row r="1239" spans="1:6">
      <c r="A1239">
        <v>5426</v>
      </c>
      <c r="B1239" t="s">
        <v>430</v>
      </c>
      <c r="C1239">
        <v>10.45</v>
      </c>
      <c r="D1239">
        <f>VLOOKUP(A1239,收盤價!A:C,3,0)</f>
        <v>10.75</v>
      </c>
      <c r="E1239" s="163">
        <v>2.8708133971291936E-2</v>
      </c>
      <c r="F1239">
        <v>21.83</v>
      </c>
    </row>
    <row r="1240" spans="1:6">
      <c r="A1240">
        <v>6186</v>
      </c>
      <c r="B1240" t="s">
        <v>465</v>
      </c>
      <c r="C1240">
        <v>21.4</v>
      </c>
      <c r="D1240">
        <f>VLOOKUP(A1240,收盤價!A:C,3,0)</f>
        <v>22</v>
      </c>
      <c r="E1240" s="163">
        <v>2.8037383177570162E-2</v>
      </c>
      <c r="F1240">
        <v>21.77</v>
      </c>
    </row>
    <row r="1241" spans="1:6">
      <c r="A1241">
        <v>5534</v>
      </c>
      <c r="B1241" t="s">
        <v>1248</v>
      </c>
      <c r="C1241">
        <v>43.75</v>
      </c>
      <c r="D1241">
        <f>VLOOKUP(A1241,收盤價!A:C,3,0)</f>
        <v>44.9</v>
      </c>
      <c r="E1241" s="163">
        <v>2.6285714285714253E-2</v>
      </c>
      <c r="F1241">
        <v>21.7</v>
      </c>
    </row>
    <row r="1242" spans="1:6">
      <c r="A1242">
        <v>1264</v>
      </c>
      <c r="B1242" t="s">
        <v>261</v>
      </c>
      <c r="C1242">
        <v>173</v>
      </c>
      <c r="D1242">
        <f>VLOOKUP(A1242,收盤價!A:C,3,0)</f>
        <v>177.5</v>
      </c>
      <c r="E1242" s="163">
        <v>2.6011560693641619E-2</v>
      </c>
      <c r="F1242">
        <v>21.64</v>
      </c>
    </row>
    <row r="1243" spans="1:6">
      <c r="A1243">
        <v>8401</v>
      </c>
      <c r="B1243" t="s">
        <v>1824</v>
      </c>
      <c r="C1243">
        <v>11.65</v>
      </c>
      <c r="D1243">
        <f>VLOOKUP(A1243,收盤價!A:C,3,0)</f>
        <v>11.95</v>
      </c>
      <c r="E1243" s="163">
        <v>2.5751072961373297E-2</v>
      </c>
      <c r="F1243">
        <v>21.58</v>
      </c>
    </row>
    <row r="1244" spans="1:6">
      <c r="A1244">
        <v>3523</v>
      </c>
      <c r="B1244" t="s">
        <v>1528</v>
      </c>
      <c r="C1244">
        <v>25.3</v>
      </c>
      <c r="D1244">
        <f>VLOOKUP(A1244,收盤價!A:C,3,0)</f>
        <v>25.95</v>
      </c>
      <c r="E1244" s="163">
        <v>2.5691699604743025E-2</v>
      </c>
      <c r="F1244">
        <v>21.51</v>
      </c>
    </row>
    <row r="1245" spans="1:6">
      <c r="A1245">
        <v>6269</v>
      </c>
      <c r="B1245" t="s">
        <v>1307</v>
      </c>
      <c r="C1245">
        <v>79.3</v>
      </c>
      <c r="D1245">
        <f>VLOOKUP(A1245,收盤價!A:C,3,0)</f>
        <v>81.3</v>
      </c>
      <c r="E1245" s="163">
        <v>2.5220680958385876E-2</v>
      </c>
      <c r="F1245">
        <v>21.45</v>
      </c>
    </row>
    <row r="1246" spans="1:6">
      <c r="A1246">
        <v>8071</v>
      </c>
      <c r="B1246" t="s">
        <v>503</v>
      </c>
      <c r="C1246">
        <v>11.95</v>
      </c>
      <c r="D1246">
        <f>VLOOKUP(A1246,收盤價!A:C,3,0)</f>
        <v>12.25</v>
      </c>
      <c r="E1246" s="163">
        <v>2.5104602510460313E-2</v>
      </c>
      <c r="F1246">
        <v>21.39</v>
      </c>
    </row>
    <row r="1247" spans="1:6">
      <c r="A1247">
        <v>3607</v>
      </c>
      <c r="B1247" t="s">
        <v>1158</v>
      </c>
      <c r="C1247">
        <v>49</v>
      </c>
      <c r="D1247">
        <f>VLOOKUP(A1247,收盤價!A:C,3,0)</f>
        <v>50.2</v>
      </c>
      <c r="E1247" s="163">
        <v>2.4489795918367405E-2</v>
      </c>
      <c r="F1247">
        <v>21.32</v>
      </c>
    </row>
    <row r="1248" spans="1:6">
      <c r="A1248">
        <v>5530</v>
      </c>
      <c r="B1248" t="s">
        <v>1692</v>
      </c>
      <c r="C1248">
        <v>53.3</v>
      </c>
      <c r="D1248">
        <f>VLOOKUP(A1248,收盤價!A:C,3,0)</f>
        <v>54.6</v>
      </c>
      <c r="E1248" s="163">
        <v>2.4390243902439105E-2</v>
      </c>
      <c r="F1248">
        <v>21.26</v>
      </c>
    </row>
    <row r="1249" spans="1:6">
      <c r="A1249">
        <v>4528</v>
      </c>
      <c r="B1249" t="s">
        <v>1602</v>
      </c>
      <c r="C1249">
        <v>53.9</v>
      </c>
      <c r="D1249">
        <f>VLOOKUP(A1249,收盤價!A:C,3,0)</f>
        <v>55.2</v>
      </c>
      <c r="E1249" s="163">
        <v>2.4118738404452771E-2</v>
      </c>
      <c r="F1249">
        <v>21.2</v>
      </c>
    </row>
    <row r="1250" spans="1:6">
      <c r="A1250">
        <v>6163</v>
      </c>
      <c r="B1250" t="s">
        <v>459</v>
      </c>
      <c r="C1250">
        <v>10.5</v>
      </c>
      <c r="D1250">
        <f>VLOOKUP(A1250,收盤價!A:C,3,0)</f>
        <v>10.75</v>
      </c>
      <c r="E1250" s="163">
        <v>2.3809523809523808E-2</v>
      </c>
      <c r="F1250">
        <v>21.14</v>
      </c>
    </row>
    <row r="1251" spans="1:6">
      <c r="A1251">
        <v>2006</v>
      </c>
      <c r="B1251" t="s">
        <v>747</v>
      </c>
      <c r="C1251">
        <v>16.8</v>
      </c>
      <c r="D1251">
        <f>VLOOKUP(A1251,收盤價!A:C,3,0)</f>
        <v>17.2</v>
      </c>
      <c r="E1251" s="163">
        <v>2.3809523809523725E-2</v>
      </c>
      <c r="F1251">
        <v>21.07</v>
      </c>
    </row>
    <row r="1252" spans="1:6">
      <c r="A1252">
        <v>3296</v>
      </c>
      <c r="B1252" t="s">
        <v>1109</v>
      </c>
      <c r="C1252">
        <v>12.7</v>
      </c>
      <c r="D1252">
        <f>VLOOKUP(A1252,收盤價!A:C,3,0)</f>
        <v>13</v>
      </c>
      <c r="E1252" s="163">
        <v>2.3622047244094547E-2</v>
      </c>
      <c r="F1252">
        <v>21.01</v>
      </c>
    </row>
    <row r="1253" spans="1:6">
      <c r="A1253">
        <v>2892</v>
      </c>
      <c r="B1253" t="s">
        <v>1030</v>
      </c>
      <c r="C1253">
        <v>15</v>
      </c>
      <c r="D1253">
        <f>VLOOKUP(A1253,收盤價!A:C,3,0)</f>
        <v>15.35</v>
      </c>
      <c r="E1253" s="163">
        <v>2.333333333333331E-2</v>
      </c>
      <c r="F1253">
        <v>20.95</v>
      </c>
    </row>
    <row r="1254" spans="1:6">
      <c r="A1254">
        <v>2010</v>
      </c>
      <c r="B1254" t="s">
        <v>751</v>
      </c>
      <c r="C1254">
        <v>8.6</v>
      </c>
      <c r="D1254">
        <f>VLOOKUP(A1254,收盤價!A:C,3,0)</f>
        <v>8.8000000000000007</v>
      </c>
      <c r="E1254" s="163">
        <v>2.3255813953488497E-2</v>
      </c>
      <c r="F1254">
        <v>20.88</v>
      </c>
    </row>
    <row r="1255" spans="1:6">
      <c r="A1255">
        <v>5907</v>
      </c>
      <c r="B1255" t="s">
        <v>1256</v>
      </c>
      <c r="C1255">
        <v>28</v>
      </c>
      <c r="D1255">
        <f>VLOOKUP(A1255,收盤價!A:C,3,0)</f>
        <v>28.65</v>
      </c>
      <c r="E1255" s="163">
        <v>2.3214285714285663E-2</v>
      </c>
      <c r="F1255">
        <v>20.82</v>
      </c>
    </row>
    <row r="1256" spans="1:6">
      <c r="A1256">
        <v>2908</v>
      </c>
      <c r="B1256" t="s">
        <v>1036</v>
      </c>
      <c r="C1256">
        <v>19.7</v>
      </c>
      <c r="D1256">
        <f>VLOOKUP(A1256,收盤價!A:C,3,0)</f>
        <v>20.149999999999999</v>
      </c>
      <c r="E1256" s="163">
        <v>2.2842639593908594E-2</v>
      </c>
      <c r="F1256">
        <v>20.76</v>
      </c>
    </row>
    <row r="1257" spans="1:6">
      <c r="A1257">
        <v>2912</v>
      </c>
      <c r="B1257" t="s">
        <v>1039</v>
      </c>
      <c r="C1257">
        <v>200</v>
      </c>
      <c r="D1257">
        <f>VLOOKUP(A1257,收盤價!A:C,3,0)</f>
        <v>204.5</v>
      </c>
      <c r="E1257" s="163">
        <v>2.2499999999999999E-2</v>
      </c>
      <c r="F1257">
        <v>20.69</v>
      </c>
    </row>
    <row r="1258" spans="1:6">
      <c r="A1258">
        <v>6803</v>
      </c>
      <c r="B1258" t="s">
        <v>1774</v>
      </c>
      <c r="C1258">
        <v>156</v>
      </c>
      <c r="D1258">
        <f>VLOOKUP(A1258,收盤價!A:C,3,0)</f>
        <v>159.5</v>
      </c>
      <c r="E1258" s="163">
        <v>2.2435897435897436E-2</v>
      </c>
      <c r="F1258">
        <v>20.63</v>
      </c>
    </row>
    <row r="1259" spans="1:6">
      <c r="A1259">
        <v>2468</v>
      </c>
      <c r="B1259" t="s">
        <v>914</v>
      </c>
      <c r="C1259">
        <v>9.98</v>
      </c>
      <c r="D1259">
        <f>VLOOKUP(A1259,收盤價!A:C,3,0)</f>
        <v>10.199999999999999</v>
      </c>
      <c r="E1259" s="163">
        <v>2.2044088176352592E-2</v>
      </c>
      <c r="F1259">
        <v>20.57</v>
      </c>
    </row>
    <row r="1260" spans="1:6">
      <c r="A1260">
        <v>2230</v>
      </c>
      <c r="B1260" t="s">
        <v>277</v>
      </c>
      <c r="C1260">
        <v>13.7</v>
      </c>
      <c r="D1260">
        <f>VLOOKUP(A1260,收盤價!A:C,3,0)</f>
        <v>14</v>
      </c>
      <c r="E1260" s="163">
        <v>2.1897810218978155E-2</v>
      </c>
      <c r="F1260">
        <v>20.5</v>
      </c>
    </row>
    <row r="1261" spans="1:6">
      <c r="A1261">
        <v>2906</v>
      </c>
      <c r="B1261" t="s">
        <v>1035</v>
      </c>
      <c r="C1261">
        <v>11.75</v>
      </c>
      <c r="D1261">
        <f>VLOOKUP(A1261,收盤價!A:C,3,0)</f>
        <v>12</v>
      </c>
      <c r="E1261" s="163">
        <v>2.1276595744680851E-2</v>
      </c>
      <c r="F1261">
        <v>20.440000000000001</v>
      </c>
    </row>
    <row r="1262" spans="1:6">
      <c r="A1262">
        <v>5213</v>
      </c>
      <c r="B1262" t="s">
        <v>1643</v>
      </c>
      <c r="C1262">
        <v>14.5</v>
      </c>
      <c r="D1262">
        <f>VLOOKUP(A1262,收盤價!A:C,3,0)</f>
        <v>14.8</v>
      </c>
      <c r="E1262" s="163">
        <v>2.0689655172413841E-2</v>
      </c>
      <c r="F1262">
        <v>20.38</v>
      </c>
    </row>
    <row r="1263" spans="1:6">
      <c r="A1263">
        <v>1468</v>
      </c>
      <c r="B1263" t="s">
        <v>634</v>
      </c>
      <c r="C1263">
        <v>9.5399999999999991</v>
      </c>
      <c r="D1263">
        <f>VLOOKUP(A1263,收盤價!A:C,3,0)</f>
        <v>9.73</v>
      </c>
      <c r="E1263" s="163">
        <v>1.9916142557652127E-2</v>
      </c>
      <c r="F1263">
        <v>20.32</v>
      </c>
    </row>
    <row r="1264" spans="1:6">
      <c r="A1264">
        <v>2883</v>
      </c>
      <c r="B1264" t="s">
        <v>1019</v>
      </c>
      <c r="C1264">
        <v>8.16</v>
      </c>
      <c r="D1264">
        <f>VLOOKUP(A1264,收盤價!A:C,3,0)</f>
        <v>8.32</v>
      </c>
      <c r="E1264" s="163">
        <v>1.9607843137254919E-2</v>
      </c>
      <c r="F1264">
        <v>20.25</v>
      </c>
    </row>
    <row r="1265" spans="1:6">
      <c r="A1265">
        <v>1402</v>
      </c>
      <c r="B1265" t="s">
        <v>594</v>
      </c>
      <c r="C1265">
        <v>25.65</v>
      </c>
      <c r="D1265">
        <f>VLOOKUP(A1265,收盤價!A:C,3,0)</f>
        <v>26.15</v>
      </c>
      <c r="E1265" s="163">
        <v>1.9493177387914232E-2</v>
      </c>
      <c r="F1265">
        <v>20.190000000000001</v>
      </c>
    </row>
    <row r="1266" spans="1:6">
      <c r="A1266">
        <v>6266</v>
      </c>
      <c r="B1266" t="s">
        <v>1758</v>
      </c>
      <c r="C1266">
        <v>12.85</v>
      </c>
      <c r="D1266">
        <f>VLOOKUP(A1266,收盤價!A:C,3,0)</f>
        <v>13.1</v>
      </c>
      <c r="E1266" s="163">
        <v>1.9455252918287938E-2</v>
      </c>
      <c r="F1266">
        <v>20.13</v>
      </c>
    </row>
    <row r="1267" spans="1:6">
      <c r="A1267">
        <v>2002</v>
      </c>
      <c r="B1267" t="s">
        <v>745</v>
      </c>
      <c r="C1267">
        <v>18</v>
      </c>
      <c r="D1267">
        <f>VLOOKUP(A1267,收盤價!A:C,3,0)</f>
        <v>18.350000000000001</v>
      </c>
      <c r="E1267" s="163">
        <v>1.9444444444444525E-2</v>
      </c>
      <c r="F1267">
        <v>20.059999999999999</v>
      </c>
    </row>
    <row r="1268" spans="1:6">
      <c r="A1268">
        <v>1454</v>
      </c>
      <c r="B1268" t="s">
        <v>623</v>
      </c>
      <c r="C1268">
        <v>8.82</v>
      </c>
      <c r="D1268">
        <f>VLOOKUP(A1268,收盤價!A:C,3,0)</f>
        <v>8.99</v>
      </c>
      <c r="E1268" s="163">
        <v>1.9274376417233553E-2</v>
      </c>
      <c r="F1268">
        <v>20</v>
      </c>
    </row>
    <row r="1269" spans="1:6">
      <c r="A1269">
        <v>2612</v>
      </c>
      <c r="B1269" t="s">
        <v>975</v>
      </c>
      <c r="C1269">
        <v>20.9</v>
      </c>
      <c r="D1269">
        <f>VLOOKUP(A1269,收盤價!A:C,3,0)</f>
        <v>21.3</v>
      </c>
      <c r="E1269" s="163">
        <v>1.9138755980861347E-2</v>
      </c>
      <c r="F1269">
        <v>19.940000000000001</v>
      </c>
    </row>
    <row r="1270" spans="1:6">
      <c r="A1270">
        <v>2066</v>
      </c>
      <c r="B1270" t="s">
        <v>276</v>
      </c>
      <c r="C1270">
        <v>99.6</v>
      </c>
      <c r="D1270">
        <f>VLOOKUP(A1270,收盤價!A:C,3,0)</f>
        <v>101.5</v>
      </c>
      <c r="E1270" s="163">
        <v>1.9076305220883591E-2</v>
      </c>
      <c r="F1270">
        <v>19.87</v>
      </c>
    </row>
    <row r="1271" spans="1:6">
      <c r="A1271">
        <v>2601</v>
      </c>
      <c r="B1271" t="s">
        <v>966</v>
      </c>
      <c r="C1271">
        <v>9.5399999999999991</v>
      </c>
      <c r="D1271">
        <f>VLOOKUP(A1271,收盤價!A:C,3,0)</f>
        <v>9.7200000000000006</v>
      </c>
      <c r="E1271" s="163">
        <v>1.8867924528302046E-2</v>
      </c>
      <c r="F1271">
        <v>19.809999999999999</v>
      </c>
    </row>
    <row r="1272" spans="1:6">
      <c r="A1272">
        <v>5519</v>
      </c>
      <c r="B1272" t="s">
        <v>1242</v>
      </c>
      <c r="C1272">
        <v>13.3</v>
      </c>
      <c r="D1272">
        <f>VLOOKUP(A1272,收盤價!A:C,3,0)</f>
        <v>13.55</v>
      </c>
      <c r="E1272" s="163">
        <v>1.8796992481203006E-2</v>
      </c>
      <c r="F1272">
        <v>19.75</v>
      </c>
    </row>
    <row r="1273" spans="1:6">
      <c r="A1273">
        <v>2834</v>
      </c>
      <c r="B1273" t="s">
        <v>1003</v>
      </c>
      <c r="C1273">
        <v>8.08</v>
      </c>
      <c r="D1273">
        <f>VLOOKUP(A1273,收盤價!A:C,3,0)</f>
        <v>8.23</v>
      </c>
      <c r="E1273" s="163">
        <v>1.8564356435643609E-2</v>
      </c>
      <c r="F1273">
        <v>19.68</v>
      </c>
    </row>
    <row r="1274" spans="1:6">
      <c r="A1274">
        <v>8085</v>
      </c>
      <c r="B1274" t="s">
        <v>507</v>
      </c>
      <c r="C1274">
        <v>3.83</v>
      </c>
      <c r="D1274">
        <f>VLOOKUP(A1274,收盤價!A:C,3,0)</f>
        <v>3.9</v>
      </c>
      <c r="E1274" s="163">
        <v>1.8276762402088732E-2</v>
      </c>
      <c r="F1274">
        <v>19.62</v>
      </c>
    </row>
    <row r="1275" spans="1:6">
      <c r="A1275">
        <v>2063</v>
      </c>
      <c r="B1275" t="s">
        <v>274</v>
      </c>
      <c r="C1275">
        <v>22.8</v>
      </c>
      <c r="D1275">
        <f>VLOOKUP(A1275,收盤價!A:C,3,0)</f>
        <v>23.2</v>
      </c>
      <c r="E1275" s="163">
        <v>1.7543859649122744E-2</v>
      </c>
      <c r="F1275">
        <v>19.559999999999999</v>
      </c>
    </row>
    <row r="1276" spans="1:6">
      <c r="A1276">
        <v>8358</v>
      </c>
      <c r="B1276" t="s">
        <v>1822</v>
      </c>
      <c r="C1276">
        <v>8.5500000000000007</v>
      </c>
      <c r="D1276">
        <f>VLOOKUP(A1276,收盤價!A:C,3,0)</f>
        <v>8.6999999999999993</v>
      </c>
      <c r="E1276" s="163">
        <v>1.754385964912264E-2</v>
      </c>
      <c r="F1276">
        <v>19.5</v>
      </c>
    </row>
    <row r="1277" spans="1:6">
      <c r="A1277">
        <v>3045</v>
      </c>
      <c r="B1277" t="s">
        <v>1081</v>
      </c>
      <c r="C1277">
        <v>97.4</v>
      </c>
      <c r="D1277">
        <f>VLOOKUP(A1277,收盤價!A:C,3,0)</f>
        <v>99.1</v>
      </c>
      <c r="E1277" s="163">
        <v>1.745379876796703E-2</v>
      </c>
      <c r="F1277">
        <v>19.43</v>
      </c>
    </row>
    <row r="1278" spans="1:6">
      <c r="A1278">
        <v>2888</v>
      </c>
      <c r="B1278" t="s">
        <v>1024</v>
      </c>
      <c r="C1278">
        <v>7</v>
      </c>
      <c r="D1278">
        <f>VLOOKUP(A1278,收盤價!A:C,3,0)</f>
        <v>7.12</v>
      </c>
      <c r="E1278" s="163">
        <v>1.7142857142857158E-2</v>
      </c>
      <c r="F1278">
        <v>19.37</v>
      </c>
    </row>
    <row r="1279" spans="1:6">
      <c r="A1279">
        <v>2637</v>
      </c>
      <c r="B1279" t="s">
        <v>983</v>
      </c>
      <c r="C1279">
        <v>35.700000000000003</v>
      </c>
      <c r="D1279">
        <f>VLOOKUP(A1279,收盤價!A:C,3,0)</f>
        <v>36.299999999999997</v>
      </c>
      <c r="E1279" s="163">
        <v>1.680672268907547E-2</v>
      </c>
      <c r="F1279">
        <v>19.309999999999999</v>
      </c>
    </row>
    <row r="1280" spans="1:6">
      <c r="A1280">
        <v>2732</v>
      </c>
      <c r="B1280" t="s">
        <v>1461</v>
      </c>
      <c r="C1280">
        <v>83.9</v>
      </c>
      <c r="D1280">
        <f>VLOOKUP(A1280,收盤價!A:C,3,0)</f>
        <v>85.3</v>
      </c>
      <c r="E1280" s="163">
        <v>1.6686531585220397E-2</v>
      </c>
      <c r="F1280">
        <v>19.239999999999998</v>
      </c>
    </row>
    <row r="1281" spans="1:6">
      <c r="A1281">
        <v>2885</v>
      </c>
      <c r="B1281" t="s">
        <v>1021</v>
      </c>
      <c r="C1281">
        <v>12</v>
      </c>
      <c r="D1281">
        <f>VLOOKUP(A1281,收盤價!A:C,3,0)</f>
        <v>12.2</v>
      </c>
      <c r="E1281" s="163">
        <v>1.6666666666666607E-2</v>
      </c>
      <c r="F1281">
        <v>19.18</v>
      </c>
    </row>
    <row r="1282" spans="1:6">
      <c r="A1282">
        <v>3030</v>
      </c>
      <c r="B1282" t="s">
        <v>1067</v>
      </c>
      <c r="C1282">
        <v>48.3</v>
      </c>
      <c r="D1282">
        <f>VLOOKUP(A1282,收盤價!A:C,3,0)</f>
        <v>49.1</v>
      </c>
      <c r="E1282" s="163">
        <v>1.6563146997929695E-2</v>
      </c>
      <c r="F1282">
        <v>19.12</v>
      </c>
    </row>
    <row r="1283" spans="1:6">
      <c r="A1283">
        <v>2640</v>
      </c>
      <c r="B1283" t="s">
        <v>1456</v>
      </c>
      <c r="C1283">
        <v>64.3</v>
      </c>
      <c r="D1283">
        <f>VLOOKUP(A1283,收盤價!A:C,3,0)</f>
        <v>65.3</v>
      </c>
      <c r="E1283" s="163">
        <v>1.5552099533437015E-2</v>
      </c>
      <c r="F1283">
        <v>19.05</v>
      </c>
    </row>
    <row r="1284" spans="1:6">
      <c r="A1284">
        <v>1109</v>
      </c>
      <c r="B1284" t="s">
        <v>1851</v>
      </c>
      <c r="C1284">
        <v>9.9</v>
      </c>
      <c r="D1284">
        <f>VLOOKUP(A1284,收盤價!A:C,3,0)</f>
        <v>10.050000000000001</v>
      </c>
      <c r="E1284" s="163">
        <v>1.5151515151515187E-2</v>
      </c>
      <c r="F1284">
        <v>18.989999999999998</v>
      </c>
    </row>
    <row r="1285" spans="1:6">
      <c r="A1285">
        <v>1742</v>
      </c>
      <c r="B1285" t="s">
        <v>537</v>
      </c>
      <c r="C1285">
        <v>10.45</v>
      </c>
      <c r="D1285">
        <f>VLOOKUP(A1285,收盤價!A:C,3,0)</f>
        <v>10.6</v>
      </c>
      <c r="E1285" s="163">
        <v>1.4354066985645968E-2</v>
      </c>
      <c r="F1285">
        <v>18.93</v>
      </c>
    </row>
    <row r="1286" spans="1:6">
      <c r="A1286">
        <v>4976</v>
      </c>
      <c r="B1286" t="s">
        <v>1219</v>
      </c>
      <c r="C1286">
        <v>14.7</v>
      </c>
      <c r="D1286">
        <f>VLOOKUP(A1286,收盤價!A:C,3,0)</f>
        <v>14.9</v>
      </c>
      <c r="E1286" s="163">
        <v>1.3605442176870821E-2</v>
      </c>
      <c r="F1286">
        <v>18.86</v>
      </c>
    </row>
    <row r="1287" spans="1:6">
      <c r="A1287">
        <v>2722</v>
      </c>
      <c r="B1287" t="s">
        <v>992</v>
      </c>
      <c r="C1287">
        <v>44.35</v>
      </c>
      <c r="D1287">
        <f>VLOOKUP(A1287,收盤價!A:C,3,0)</f>
        <v>44.95</v>
      </c>
      <c r="E1287" s="163">
        <v>1.3528748590755387E-2</v>
      </c>
      <c r="F1287">
        <v>18.8</v>
      </c>
    </row>
    <row r="1288" spans="1:6">
      <c r="A1288">
        <v>2530</v>
      </c>
      <c r="B1288" t="s">
        <v>951</v>
      </c>
      <c r="C1288">
        <v>15.75</v>
      </c>
      <c r="D1288">
        <f>VLOOKUP(A1288,收盤價!A:C,3,0)</f>
        <v>15.95</v>
      </c>
      <c r="E1288" s="163">
        <v>1.2698412698412653E-2</v>
      </c>
      <c r="F1288">
        <v>18.739999999999998</v>
      </c>
    </row>
    <row r="1289" spans="1:6">
      <c r="A1289">
        <v>4420</v>
      </c>
      <c r="B1289" t="s">
        <v>1593</v>
      </c>
      <c r="C1289">
        <v>39.5</v>
      </c>
      <c r="D1289">
        <f>VLOOKUP(A1289,收盤價!A:C,3,0)</f>
        <v>40</v>
      </c>
      <c r="E1289" s="163">
        <v>1.2658227848101266E-2</v>
      </c>
      <c r="F1289">
        <v>18.68</v>
      </c>
    </row>
    <row r="1290" spans="1:6">
      <c r="A1290">
        <v>3701</v>
      </c>
      <c r="B1290" t="s">
        <v>1172</v>
      </c>
      <c r="C1290">
        <v>8.89</v>
      </c>
      <c r="D1290">
        <f>VLOOKUP(A1290,收盤價!A:C,3,0)</f>
        <v>9</v>
      </c>
      <c r="E1290" s="163">
        <v>1.2373453318335143E-2</v>
      </c>
      <c r="F1290">
        <v>18.61</v>
      </c>
    </row>
    <row r="1291" spans="1:6">
      <c r="A1291">
        <v>2433</v>
      </c>
      <c r="B1291" t="s">
        <v>885</v>
      </c>
      <c r="C1291">
        <v>41.95</v>
      </c>
      <c r="D1291">
        <f>VLOOKUP(A1291,收盤價!A:C,3,0)</f>
        <v>42.45</v>
      </c>
      <c r="E1291" s="163">
        <v>1.1918951132300357E-2</v>
      </c>
      <c r="F1291">
        <v>18.55</v>
      </c>
    </row>
    <row r="1292" spans="1:6">
      <c r="A1292">
        <v>3558</v>
      </c>
      <c r="B1292" t="s">
        <v>345</v>
      </c>
      <c r="C1292">
        <v>210</v>
      </c>
      <c r="D1292">
        <f>VLOOKUP(A1292,收盤價!A:C,3,0)</f>
        <v>212.5</v>
      </c>
      <c r="E1292" s="163">
        <v>1.1904761904761904E-2</v>
      </c>
      <c r="F1292">
        <v>18.489999999999998</v>
      </c>
    </row>
    <row r="1293" spans="1:6">
      <c r="A1293">
        <v>2466</v>
      </c>
      <c r="B1293" t="s">
        <v>912</v>
      </c>
      <c r="C1293">
        <v>29.65</v>
      </c>
      <c r="D1293">
        <f>VLOOKUP(A1293,收盤價!A:C,3,0)</f>
        <v>30</v>
      </c>
      <c r="E1293" s="163">
        <v>1.1804384485666152E-2</v>
      </c>
      <c r="F1293">
        <v>18.420000000000002</v>
      </c>
    </row>
    <row r="1294" spans="1:6">
      <c r="A1294">
        <v>9908</v>
      </c>
      <c r="B1294" t="s">
        <v>1402</v>
      </c>
      <c r="C1294">
        <v>21.9</v>
      </c>
      <c r="D1294">
        <f>VLOOKUP(A1294,收盤價!A:C,3,0)</f>
        <v>22.15</v>
      </c>
      <c r="E1294" s="163">
        <v>1.1415525114155252E-2</v>
      </c>
      <c r="F1294">
        <v>18.36</v>
      </c>
    </row>
    <row r="1295" spans="1:6">
      <c r="A1295">
        <v>9937</v>
      </c>
      <c r="B1295" t="s">
        <v>1422</v>
      </c>
      <c r="C1295">
        <v>35.5</v>
      </c>
      <c r="D1295">
        <f>VLOOKUP(A1295,收盤價!A:C,3,0)</f>
        <v>35.9</v>
      </c>
      <c r="E1295" s="163">
        <v>1.1267605633802778E-2</v>
      </c>
      <c r="F1295">
        <v>18.3</v>
      </c>
    </row>
    <row r="1296" spans="1:6">
      <c r="A1296">
        <v>3584</v>
      </c>
      <c r="B1296" t="s">
        <v>1151</v>
      </c>
      <c r="C1296">
        <v>5.35</v>
      </c>
      <c r="D1296">
        <f>VLOOKUP(A1296,收盤價!A:C,3,0)</f>
        <v>5.41</v>
      </c>
      <c r="E1296" s="163">
        <v>1.1214953271028132E-2</v>
      </c>
      <c r="F1296">
        <v>18.23</v>
      </c>
    </row>
    <row r="1297" spans="1:6">
      <c r="A1297">
        <v>9940</v>
      </c>
      <c r="B1297" t="s">
        <v>1425</v>
      </c>
      <c r="C1297">
        <v>26.9</v>
      </c>
      <c r="D1297">
        <f>VLOOKUP(A1297,收盤價!A:C,3,0)</f>
        <v>27.2</v>
      </c>
      <c r="E1297" s="163">
        <v>1.1152416356877351E-2</v>
      </c>
      <c r="F1297">
        <v>18.170000000000002</v>
      </c>
    </row>
    <row r="1298" spans="1:6">
      <c r="A1298">
        <v>3285</v>
      </c>
      <c r="B1298" t="s">
        <v>311</v>
      </c>
      <c r="C1298">
        <v>27.9</v>
      </c>
      <c r="D1298">
        <f>VLOOKUP(A1298,收盤價!A:C,3,0)</f>
        <v>28.2</v>
      </c>
      <c r="E1298" s="163">
        <v>1.0752688172043038E-2</v>
      </c>
      <c r="F1298">
        <v>18.11</v>
      </c>
    </row>
    <row r="1299" spans="1:6">
      <c r="A1299">
        <v>1702</v>
      </c>
      <c r="B1299" t="s">
        <v>697</v>
      </c>
      <c r="C1299">
        <v>67.5</v>
      </c>
      <c r="D1299">
        <f>VLOOKUP(A1299,收盤價!A:C,3,0)</f>
        <v>68.2</v>
      </c>
      <c r="E1299" s="163">
        <v>1.0370370370370412E-2</v>
      </c>
      <c r="F1299">
        <v>18.04</v>
      </c>
    </row>
    <row r="1300" spans="1:6">
      <c r="A1300">
        <v>5234</v>
      </c>
      <c r="B1300" t="s">
        <v>1228</v>
      </c>
      <c r="C1300">
        <v>29.85</v>
      </c>
      <c r="D1300">
        <f>VLOOKUP(A1300,收盤價!A:C,3,0)</f>
        <v>30.15</v>
      </c>
      <c r="E1300" s="163">
        <v>1.0050251256281312E-2</v>
      </c>
      <c r="F1300">
        <v>17.98</v>
      </c>
    </row>
    <row r="1301" spans="1:6">
      <c r="A1301">
        <v>4306</v>
      </c>
      <c r="B1301" t="s">
        <v>1188</v>
      </c>
      <c r="C1301">
        <v>11.8</v>
      </c>
      <c r="D1301">
        <f>VLOOKUP(A1301,收盤價!A:C,3,0)</f>
        <v>11.9</v>
      </c>
      <c r="E1301" s="163">
        <v>8.4745762711864094E-3</v>
      </c>
      <c r="F1301">
        <v>17.920000000000002</v>
      </c>
    </row>
    <row r="1302" spans="1:6">
      <c r="A1302">
        <v>1604</v>
      </c>
      <c r="B1302" t="s">
        <v>683</v>
      </c>
      <c r="C1302">
        <v>11.9</v>
      </c>
      <c r="D1302">
        <f>VLOOKUP(A1302,收盤價!A:C,3,0)</f>
        <v>12</v>
      </c>
      <c r="E1302" s="163">
        <v>8.4033613445377853E-3</v>
      </c>
      <c r="F1302">
        <v>17.850000000000001</v>
      </c>
    </row>
    <row r="1303" spans="1:6">
      <c r="A1303">
        <v>1419</v>
      </c>
      <c r="B1303" t="s">
        <v>602</v>
      </c>
      <c r="C1303">
        <v>37.4</v>
      </c>
      <c r="D1303">
        <f>VLOOKUP(A1303,收盤價!A:C,3,0)</f>
        <v>37.700000000000003</v>
      </c>
      <c r="E1303" s="163">
        <v>8.0213903743316644E-3</v>
      </c>
      <c r="F1303">
        <v>17.79</v>
      </c>
    </row>
    <row r="1304" spans="1:6">
      <c r="A1304">
        <v>2901</v>
      </c>
      <c r="B1304" t="s">
        <v>1031</v>
      </c>
      <c r="C1304">
        <v>27.25</v>
      </c>
      <c r="D1304">
        <f>VLOOKUP(A1304,收盤價!A:C,3,0)</f>
        <v>27.45</v>
      </c>
      <c r="E1304" s="163">
        <v>7.3394495412843772E-3</v>
      </c>
      <c r="F1304">
        <v>17.73</v>
      </c>
    </row>
    <row r="1305" spans="1:6">
      <c r="A1305">
        <v>1216</v>
      </c>
      <c r="B1305" t="s">
        <v>555</v>
      </c>
      <c r="C1305">
        <v>55.2</v>
      </c>
      <c r="D1305">
        <f>VLOOKUP(A1305,收盤價!A:C,3,0)</f>
        <v>55.6</v>
      </c>
      <c r="E1305" s="163">
        <v>7.246376811594177E-3</v>
      </c>
      <c r="F1305">
        <v>17.670000000000002</v>
      </c>
    </row>
    <row r="1306" spans="1:6">
      <c r="A1306">
        <v>9949</v>
      </c>
      <c r="B1306" t="s">
        <v>534</v>
      </c>
      <c r="C1306">
        <v>14.5</v>
      </c>
      <c r="D1306">
        <f>VLOOKUP(A1306,收盤價!A:C,3,0)</f>
        <v>14.6</v>
      </c>
      <c r="E1306" s="163">
        <v>6.8965517241379067E-3</v>
      </c>
      <c r="F1306">
        <v>17.600000000000001</v>
      </c>
    </row>
    <row r="1307" spans="1:6">
      <c r="A1307">
        <v>9921</v>
      </c>
      <c r="B1307" t="s">
        <v>1410</v>
      </c>
      <c r="C1307">
        <v>218.5</v>
      </c>
      <c r="D1307">
        <f>VLOOKUP(A1307,收盤價!A:C,3,0)</f>
        <v>220</v>
      </c>
      <c r="E1307" s="163">
        <v>6.8649885583524023E-3</v>
      </c>
      <c r="F1307">
        <v>17.54</v>
      </c>
    </row>
    <row r="1308" spans="1:6">
      <c r="A1308">
        <v>5381</v>
      </c>
      <c r="B1308" t="s">
        <v>1665</v>
      </c>
      <c r="C1308">
        <v>1.58</v>
      </c>
      <c r="D1308">
        <f>VLOOKUP(A1308,收盤價!A:C,3,0)</f>
        <v>1.59</v>
      </c>
      <c r="E1308" s="163">
        <v>6.329113924050638E-3</v>
      </c>
      <c r="F1308">
        <v>17.48</v>
      </c>
    </row>
    <row r="1309" spans="1:6">
      <c r="A1309">
        <v>2727</v>
      </c>
      <c r="B1309" t="s">
        <v>994</v>
      </c>
      <c r="C1309">
        <v>158.5</v>
      </c>
      <c r="D1309">
        <f>VLOOKUP(A1309,收盤價!A:C,3,0)</f>
        <v>159.5</v>
      </c>
      <c r="E1309" s="163">
        <v>6.3091482649842269E-3</v>
      </c>
      <c r="F1309">
        <v>17.41</v>
      </c>
    </row>
    <row r="1310" spans="1:6">
      <c r="A1310">
        <v>9926</v>
      </c>
      <c r="B1310" t="s">
        <v>1413</v>
      </c>
      <c r="C1310">
        <v>39.75</v>
      </c>
      <c r="D1310">
        <f>VLOOKUP(A1310,收盤價!A:C,3,0)</f>
        <v>40</v>
      </c>
      <c r="E1310" s="163">
        <v>6.2893081761006293E-3</v>
      </c>
      <c r="F1310">
        <v>17.350000000000001</v>
      </c>
    </row>
    <row r="1311" spans="1:6">
      <c r="A1311">
        <v>6184</v>
      </c>
      <c r="B1311" t="s">
        <v>1283</v>
      </c>
      <c r="C1311">
        <v>50.7</v>
      </c>
      <c r="D1311">
        <f>VLOOKUP(A1311,收盤價!A:C,3,0)</f>
        <v>51</v>
      </c>
      <c r="E1311" s="163">
        <v>5.917159763313553E-3</v>
      </c>
      <c r="F1311">
        <v>17.29</v>
      </c>
    </row>
    <row r="1312" spans="1:6">
      <c r="A1312">
        <v>8183</v>
      </c>
      <c r="B1312" t="s">
        <v>1811</v>
      </c>
      <c r="C1312">
        <v>5.15</v>
      </c>
      <c r="D1312">
        <f>VLOOKUP(A1312,收盤價!A:C,3,0)</f>
        <v>5.18</v>
      </c>
      <c r="E1312" s="163">
        <v>5.8252427184464772E-3</v>
      </c>
      <c r="F1312">
        <v>17.22</v>
      </c>
    </row>
    <row r="1313" spans="1:6">
      <c r="A1313">
        <v>9962</v>
      </c>
      <c r="B1313" t="s">
        <v>1850</v>
      </c>
      <c r="C1313">
        <v>7.1</v>
      </c>
      <c r="D1313">
        <f>VLOOKUP(A1313,收盤價!A:C,3,0)</f>
        <v>7.14</v>
      </c>
      <c r="E1313" s="163">
        <v>5.633802816901414E-3</v>
      </c>
      <c r="F1313">
        <v>17.16</v>
      </c>
    </row>
    <row r="1314" spans="1:6">
      <c r="A1314">
        <v>1615</v>
      </c>
      <c r="B1314" t="s">
        <v>691</v>
      </c>
      <c r="C1314">
        <v>9.65</v>
      </c>
      <c r="D1314">
        <f>VLOOKUP(A1314,收盤價!A:C,3,0)</f>
        <v>9.6999999999999993</v>
      </c>
      <c r="E1314" s="163">
        <v>5.1813471502589565E-3</v>
      </c>
      <c r="F1314">
        <v>17.100000000000001</v>
      </c>
    </row>
    <row r="1315" spans="1:6">
      <c r="A1315">
        <v>1710</v>
      </c>
      <c r="B1315" t="s">
        <v>702</v>
      </c>
      <c r="C1315">
        <v>20.5</v>
      </c>
      <c r="D1315">
        <f>VLOOKUP(A1315,收盤價!A:C,3,0)</f>
        <v>20.6</v>
      </c>
      <c r="E1315" s="163">
        <v>4.8780487804878743E-3</v>
      </c>
      <c r="F1315">
        <v>17.03</v>
      </c>
    </row>
    <row r="1316" spans="1:6">
      <c r="A1316">
        <v>6140</v>
      </c>
      <c r="B1316" t="s">
        <v>1723</v>
      </c>
      <c r="C1316">
        <v>10.8</v>
      </c>
      <c r="D1316">
        <f>VLOOKUP(A1316,收盤價!A:C,3,0)</f>
        <v>10.85</v>
      </c>
      <c r="E1316" s="163">
        <v>4.6296296296295305E-3</v>
      </c>
      <c r="F1316">
        <v>16.97</v>
      </c>
    </row>
    <row r="1317" spans="1:6">
      <c r="A1317">
        <v>5306</v>
      </c>
      <c r="B1317" t="s">
        <v>1651</v>
      </c>
      <c r="C1317">
        <v>128.5</v>
      </c>
      <c r="D1317">
        <f>VLOOKUP(A1317,收盤價!A:C,3,0)</f>
        <v>129</v>
      </c>
      <c r="E1317" s="163">
        <v>3.8910505836575876E-3</v>
      </c>
      <c r="F1317">
        <v>16.91</v>
      </c>
    </row>
    <row r="1318" spans="1:6">
      <c r="A1318">
        <v>2461</v>
      </c>
      <c r="B1318" t="s">
        <v>908</v>
      </c>
      <c r="C1318">
        <v>13.7</v>
      </c>
      <c r="D1318">
        <f>VLOOKUP(A1318,收盤價!A:C,3,0)</f>
        <v>13.75</v>
      </c>
      <c r="E1318" s="163">
        <v>3.6496350364964023E-3</v>
      </c>
      <c r="F1318">
        <v>16.850000000000001</v>
      </c>
    </row>
    <row r="1319" spans="1:6">
      <c r="A1319">
        <v>2845</v>
      </c>
      <c r="B1319" t="s">
        <v>1007</v>
      </c>
      <c r="C1319">
        <v>9.81</v>
      </c>
      <c r="D1319">
        <f>VLOOKUP(A1319,收盤價!A:C,3,0)</f>
        <v>9.84</v>
      </c>
      <c r="E1319" s="163">
        <v>3.0581039755351027E-3</v>
      </c>
      <c r="F1319">
        <v>16.78</v>
      </c>
    </row>
    <row r="1320" spans="1:6">
      <c r="A1320">
        <v>3490</v>
      </c>
      <c r="B1320" t="s">
        <v>333</v>
      </c>
      <c r="C1320">
        <v>66.400000000000006</v>
      </c>
      <c r="D1320">
        <f>VLOOKUP(A1320,收盤價!A:C,3,0)</f>
        <v>66.599999999999994</v>
      </c>
      <c r="E1320" s="163">
        <v>3.0120481927709128E-3</v>
      </c>
      <c r="F1320">
        <v>16.72</v>
      </c>
    </row>
    <row r="1321" spans="1:6">
      <c r="A1321">
        <v>2024</v>
      </c>
      <c r="B1321" t="s">
        <v>760</v>
      </c>
      <c r="C1321">
        <v>6.68</v>
      </c>
      <c r="D1321">
        <f>VLOOKUP(A1321,收盤價!A:C,3,0)</f>
        <v>6.7</v>
      </c>
      <c r="E1321" s="163">
        <v>2.9940119760479733E-3</v>
      </c>
      <c r="F1321">
        <v>16.66</v>
      </c>
    </row>
    <row r="1322" spans="1:6">
      <c r="A1322">
        <v>3356</v>
      </c>
      <c r="B1322" t="s">
        <v>1116</v>
      </c>
      <c r="C1322">
        <v>71.099999999999994</v>
      </c>
      <c r="D1322">
        <f>VLOOKUP(A1322,收盤價!A:C,3,0)</f>
        <v>71.3</v>
      </c>
      <c r="E1322" s="163">
        <v>2.8129395218003217E-3</v>
      </c>
      <c r="F1322">
        <v>16.59</v>
      </c>
    </row>
    <row r="1323" spans="1:6">
      <c r="A1323">
        <v>5324</v>
      </c>
      <c r="B1323" t="s">
        <v>421</v>
      </c>
      <c r="C1323">
        <v>9.5</v>
      </c>
      <c r="D1323">
        <f>VLOOKUP(A1323,收盤價!A:C,3,0)</f>
        <v>9.5</v>
      </c>
      <c r="E1323" s="163">
        <v>0</v>
      </c>
      <c r="F1323">
        <v>16.53</v>
      </c>
    </row>
    <row r="1324" spans="1:6">
      <c r="A1324">
        <v>8463</v>
      </c>
      <c r="B1324" t="s">
        <v>1369</v>
      </c>
      <c r="C1324">
        <v>24.15</v>
      </c>
      <c r="D1324">
        <f>VLOOKUP(A1324,收盤價!A:C,3,0)</f>
        <v>24.15</v>
      </c>
      <c r="E1324" s="163">
        <v>0</v>
      </c>
      <c r="F1324">
        <v>16.47</v>
      </c>
    </row>
    <row r="1325" spans="1:6">
      <c r="A1325">
        <v>2731</v>
      </c>
      <c r="B1325" t="s">
        <v>995</v>
      </c>
      <c r="C1325">
        <v>119.5</v>
      </c>
      <c r="D1325">
        <f>VLOOKUP(A1325,收盤價!A:C,3,0)</f>
        <v>119.5</v>
      </c>
      <c r="E1325" s="163">
        <v>0</v>
      </c>
      <c r="F1325">
        <v>16.399999999999999</v>
      </c>
    </row>
    <row r="1326" spans="1:6">
      <c r="A1326">
        <v>5607</v>
      </c>
      <c r="B1326" t="s">
        <v>1250</v>
      </c>
      <c r="C1326">
        <v>14.75</v>
      </c>
      <c r="D1326">
        <f>VLOOKUP(A1326,收盤價!A:C,3,0)</f>
        <v>14.75</v>
      </c>
      <c r="E1326" s="163">
        <v>0</v>
      </c>
      <c r="F1326">
        <v>16.34</v>
      </c>
    </row>
    <row r="1327" spans="1:6">
      <c r="A1327">
        <v>2603</v>
      </c>
      <c r="B1327" t="s">
        <v>967</v>
      </c>
      <c r="C1327">
        <v>13.3</v>
      </c>
      <c r="D1327">
        <f>VLOOKUP(A1327,收盤價!A:C,3,0)</f>
        <v>13.3</v>
      </c>
      <c r="E1327" s="163">
        <v>0</v>
      </c>
      <c r="F1327">
        <v>16.28</v>
      </c>
    </row>
    <row r="1328" spans="1:6">
      <c r="A1328">
        <v>3052</v>
      </c>
      <c r="B1328" t="s">
        <v>1088</v>
      </c>
      <c r="C1328">
        <v>10.1</v>
      </c>
      <c r="D1328">
        <f>VLOOKUP(A1328,收盤價!A:C,3,0)</f>
        <v>10.1</v>
      </c>
      <c r="E1328" s="163">
        <v>0</v>
      </c>
      <c r="F1328">
        <v>16.21</v>
      </c>
    </row>
    <row r="1329" spans="1:6">
      <c r="A1329">
        <v>5285</v>
      </c>
      <c r="B1329" t="s">
        <v>1233</v>
      </c>
      <c r="C1329">
        <v>29.8</v>
      </c>
      <c r="D1329">
        <f>VLOOKUP(A1329,收盤價!A:C,3,0)</f>
        <v>29.8</v>
      </c>
      <c r="E1329" s="163">
        <v>0</v>
      </c>
      <c r="F1329">
        <v>16.149999999999999</v>
      </c>
    </row>
    <row r="1330" spans="1:6">
      <c r="A1330">
        <v>2515</v>
      </c>
      <c r="B1330" t="s">
        <v>945</v>
      </c>
      <c r="C1330">
        <v>7.02</v>
      </c>
      <c r="D1330">
        <f>VLOOKUP(A1330,收盤價!A:C,3,0)</f>
        <v>7.01</v>
      </c>
      <c r="E1330" s="163">
        <v>-1.4245014245013942E-3</v>
      </c>
      <c r="F1330">
        <v>16.09</v>
      </c>
    </row>
    <row r="1331" spans="1:6">
      <c r="A1331">
        <v>6204</v>
      </c>
      <c r="B1331" t="s">
        <v>1742</v>
      </c>
      <c r="C1331">
        <v>21.95</v>
      </c>
      <c r="D1331">
        <f>VLOOKUP(A1331,收盤價!A:C,3,0)</f>
        <v>21.9</v>
      </c>
      <c r="E1331" s="163">
        <v>-2.2779043280182557E-3</v>
      </c>
      <c r="F1331">
        <v>16.03</v>
      </c>
    </row>
    <row r="1332" spans="1:6">
      <c r="A1332">
        <v>2641</v>
      </c>
      <c r="B1332" t="s">
        <v>1457</v>
      </c>
      <c r="C1332">
        <v>8.49</v>
      </c>
      <c r="D1332">
        <f>VLOOKUP(A1332,收盤價!A:C,3,0)</f>
        <v>8.4499999999999993</v>
      </c>
      <c r="E1332" s="163">
        <v>-4.7114252061249617E-3</v>
      </c>
      <c r="F1332">
        <v>15.96</v>
      </c>
    </row>
    <row r="1333" spans="1:6">
      <c r="A1333">
        <v>9912</v>
      </c>
      <c r="B1333" t="s">
        <v>1405</v>
      </c>
      <c r="C1333">
        <v>8.61</v>
      </c>
      <c r="D1333">
        <f>VLOOKUP(A1333,收盤價!A:C,3,0)</f>
        <v>8.5500000000000007</v>
      </c>
      <c r="E1333" s="163">
        <v>-6.9686411149824301E-3</v>
      </c>
      <c r="F1333">
        <v>15.9</v>
      </c>
    </row>
    <row r="1334" spans="1:6">
      <c r="A1334">
        <v>5508</v>
      </c>
      <c r="B1334" t="s">
        <v>1686</v>
      </c>
      <c r="C1334">
        <v>28.55</v>
      </c>
      <c r="D1334">
        <f>VLOOKUP(A1334,收盤價!A:C,3,0)</f>
        <v>28.35</v>
      </c>
      <c r="E1334" s="163">
        <v>-7.0052539404553164E-3</v>
      </c>
      <c r="F1334">
        <v>15.84</v>
      </c>
    </row>
    <row r="1335" spans="1:6">
      <c r="A1335">
        <v>2724</v>
      </c>
      <c r="B1335" t="s">
        <v>1458</v>
      </c>
      <c r="C1335">
        <v>14.25</v>
      </c>
      <c r="D1335">
        <f>VLOOKUP(A1335,收盤價!A:C,3,0)</f>
        <v>14.15</v>
      </c>
      <c r="E1335" s="163">
        <v>-7.0175438596490978E-3</v>
      </c>
      <c r="F1335">
        <v>15.77</v>
      </c>
    </row>
    <row r="1336" spans="1:6">
      <c r="A1336">
        <v>2317</v>
      </c>
      <c r="B1336" t="s">
        <v>804</v>
      </c>
      <c r="C1336">
        <v>81.599999999999994</v>
      </c>
      <c r="D1336">
        <f>VLOOKUP(A1336,收盤價!A:C,3,0)</f>
        <v>81</v>
      </c>
      <c r="E1336" s="163">
        <v>-7.3529411764705187E-3</v>
      </c>
      <c r="F1336">
        <v>15.71</v>
      </c>
    </row>
    <row r="1337" spans="1:6">
      <c r="A1337">
        <v>6219</v>
      </c>
      <c r="B1337" t="s">
        <v>1748</v>
      </c>
      <c r="C1337">
        <v>11.95</v>
      </c>
      <c r="D1337">
        <f>VLOOKUP(A1337,收盤價!A:C,3,0)</f>
        <v>11.85</v>
      </c>
      <c r="E1337" s="163">
        <v>-8.3682008368200552E-3</v>
      </c>
      <c r="F1337">
        <v>15.65</v>
      </c>
    </row>
    <row r="1338" spans="1:6">
      <c r="A1338">
        <v>8059</v>
      </c>
      <c r="B1338" t="s">
        <v>1787</v>
      </c>
      <c r="C1338">
        <v>11.75</v>
      </c>
      <c r="D1338">
        <f>VLOOKUP(A1338,收盤價!A:C,3,0)</f>
        <v>11.65</v>
      </c>
      <c r="E1338" s="163">
        <v>-8.5106382978723093E-3</v>
      </c>
      <c r="F1338">
        <v>15.58</v>
      </c>
    </row>
    <row r="1339" spans="1:6">
      <c r="A1339">
        <v>8927</v>
      </c>
      <c r="B1339" t="s">
        <v>527</v>
      </c>
      <c r="C1339">
        <v>9.89</v>
      </c>
      <c r="D1339">
        <f>VLOOKUP(A1339,收盤價!A:C,3,0)</f>
        <v>9.8000000000000007</v>
      </c>
      <c r="E1339" s="163">
        <v>-9.1001011122345647E-3</v>
      </c>
      <c r="F1339">
        <v>15.52</v>
      </c>
    </row>
    <row r="1340" spans="1:6">
      <c r="A1340">
        <v>5905</v>
      </c>
      <c r="B1340" t="s">
        <v>1700</v>
      </c>
      <c r="C1340">
        <v>8.73</v>
      </c>
      <c r="D1340">
        <f>VLOOKUP(A1340,收盤價!A:C,3,0)</f>
        <v>8.65</v>
      </c>
      <c r="E1340" s="163">
        <v>-9.1638029782359753E-3</v>
      </c>
      <c r="F1340">
        <v>15.46</v>
      </c>
    </row>
    <row r="1341" spans="1:6">
      <c r="A1341">
        <v>2382</v>
      </c>
      <c r="B1341" t="s">
        <v>850</v>
      </c>
      <c r="C1341">
        <v>53.6</v>
      </c>
      <c r="D1341">
        <f>VLOOKUP(A1341,收盤價!A:C,3,0)</f>
        <v>53.1</v>
      </c>
      <c r="E1341" s="163">
        <v>-9.3283582089552231E-3</v>
      </c>
      <c r="F1341">
        <v>15.39</v>
      </c>
    </row>
    <row r="1342" spans="1:6">
      <c r="A1342">
        <v>2497</v>
      </c>
      <c r="B1342" t="s">
        <v>935</v>
      </c>
      <c r="C1342">
        <v>36.5</v>
      </c>
      <c r="D1342">
        <f>VLOOKUP(A1342,收盤價!A:C,3,0)</f>
        <v>36.15</v>
      </c>
      <c r="E1342" s="163">
        <v>-9.5890410958904496E-3</v>
      </c>
      <c r="F1342">
        <v>15.33</v>
      </c>
    </row>
    <row r="1343" spans="1:6">
      <c r="A1343">
        <v>3591</v>
      </c>
      <c r="B1343" t="s">
        <v>1153</v>
      </c>
      <c r="C1343">
        <v>17.3</v>
      </c>
      <c r="D1343">
        <f>VLOOKUP(A1343,收盤價!A:C,3,0)</f>
        <v>17.100000000000001</v>
      </c>
      <c r="E1343" s="163">
        <v>-1.1560693641618455E-2</v>
      </c>
      <c r="F1343">
        <v>15.27</v>
      </c>
    </row>
    <row r="1344" spans="1:6">
      <c r="A1344">
        <v>8930</v>
      </c>
      <c r="B1344" t="s">
        <v>530</v>
      </c>
      <c r="C1344">
        <v>9.1</v>
      </c>
      <c r="D1344">
        <f>VLOOKUP(A1344,收盤價!A:C,3,0)</f>
        <v>8.99</v>
      </c>
      <c r="E1344" s="163">
        <v>-1.2087912087912026E-2</v>
      </c>
      <c r="F1344">
        <v>15.21</v>
      </c>
    </row>
    <row r="1345" spans="1:6">
      <c r="A1345">
        <v>4536</v>
      </c>
      <c r="B1345" t="s">
        <v>1193</v>
      </c>
      <c r="C1345">
        <v>116.5</v>
      </c>
      <c r="D1345">
        <f>VLOOKUP(A1345,收盤價!A:C,3,0)</f>
        <v>115</v>
      </c>
      <c r="E1345" s="163">
        <v>-1.2875536480686695E-2</v>
      </c>
      <c r="F1345">
        <v>15.14</v>
      </c>
    </row>
    <row r="1346" spans="1:6">
      <c r="A1346">
        <v>1713</v>
      </c>
      <c r="B1346" t="s">
        <v>705</v>
      </c>
      <c r="C1346">
        <v>15.5</v>
      </c>
      <c r="D1346">
        <f>VLOOKUP(A1346,收盤價!A:C,3,0)</f>
        <v>15.3</v>
      </c>
      <c r="E1346" s="163">
        <v>-1.2903225806451568E-2</v>
      </c>
      <c r="F1346">
        <v>15.08</v>
      </c>
    </row>
    <row r="1347" spans="1:6">
      <c r="A1347">
        <v>2816</v>
      </c>
      <c r="B1347" t="s">
        <v>999</v>
      </c>
      <c r="C1347">
        <v>15.4</v>
      </c>
      <c r="D1347">
        <f>VLOOKUP(A1347,收盤價!A:C,3,0)</f>
        <v>15.2</v>
      </c>
      <c r="E1347" s="163">
        <v>-1.2987012987013056E-2</v>
      </c>
      <c r="F1347">
        <v>15.02</v>
      </c>
    </row>
    <row r="1348" spans="1:6">
      <c r="A1348">
        <v>2509</v>
      </c>
      <c r="B1348" t="s">
        <v>942</v>
      </c>
      <c r="C1348">
        <v>22.7</v>
      </c>
      <c r="D1348">
        <f>VLOOKUP(A1348,收盤價!A:C,3,0)</f>
        <v>22.4</v>
      </c>
      <c r="E1348" s="163">
        <v>-1.3215859030837036E-2</v>
      </c>
      <c r="F1348">
        <v>14.95</v>
      </c>
    </row>
    <row r="1349" spans="1:6">
      <c r="A1349">
        <v>8423</v>
      </c>
      <c r="B1349" t="s">
        <v>1829</v>
      </c>
      <c r="C1349">
        <v>22.55</v>
      </c>
      <c r="D1349">
        <f>VLOOKUP(A1349,收盤價!A:C,3,0)</f>
        <v>22.25</v>
      </c>
      <c r="E1349" s="163">
        <v>-1.3303769401330408E-2</v>
      </c>
      <c r="F1349">
        <v>14.89</v>
      </c>
    </row>
    <row r="1350" spans="1:6">
      <c r="A1350">
        <v>1626</v>
      </c>
      <c r="B1350" t="s">
        <v>695</v>
      </c>
      <c r="C1350">
        <v>23.2</v>
      </c>
      <c r="D1350">
        <f>VLOOKUP(A1350,收盤價!A:C,3,0)</f>
        <v>22.85</v>
      </c>
      <c r="E1350" s="163">
        <v>-1.5086206896551633E-2</v>
      </c>
      <c r="F1350">
        <v>14.83</v>
      </c>
    </row>
    <row r="1351" spans="1:6">
      <c r="A1351">
        <v>2890</v>
      </c>
      <c r="B1351" t="s">
        <v>1026</v>
      </c>
      <c r="C1351">
        <v>9.67</v>
      </c>
      <c r="D1351">
        <f>VLOOKUP(A1351,收盤價!A:C,3,0)</f>
        <v>9.52</v>
      </c>
      <c r="E1351" s="163">
        <v>-1.5511892450879044E-2</v>
      </c>
      <c r="F1351">
        <v>14.76</v>
      </c>
    </row>
    <row r="1352" spans="1:6">
      <c r="A1352">
        <v>5608</v>
      </c>
      <c r="B1352" t="s">
        <v>1251</v>
      </c>
      <c r="C1352">
        <v>12.25</v>
      </c>
      <c r="D1352">
        <f>VLOOKUP(A1352,收盤價!A:C,3,0)</f>
        <v>12.05</v>
      </c>
      <c r="E1352" s="163">
        <v>-1.632653061224484E-2</v>
      </c>
      <c r="F1352">
        <v>14.7</v>
      </c>
    </row>
    <row r="1353" spans="1:6">
      <c r="A1353">
        <v>1906</v>
      </c>
      <c r="B1353" t="s">
        <v>742</v>
      </c>
      <c r="C1353">
        <v>7.85</v>
      </c>
      <c r="D1353">
        <f>VLOOKUP(A1353,收盤價!A:C,3,0)</f>
        <v>7.72</v>
      </c>
      <c r="E1353" s="163">
        <v>-1.6560509554140113E-2</v>
      </c>
      <c r="F1353">
        <v>14.64</v>
      </c>
    </row>
    <row r="1354" spans="1:6">
      <c r="A1354">
        <v>9904</v>
      </c>
      <c r="B1354" t="s">
        <v>1398</v>
      </c>
      <c r="C1354">
        <v>44.15</v>
      </c>
      <c r="D1354">
        <f>VLOOKUP(A1354,收盤價!A:C,3,0)</f>
        <v>43.4</v>
      </c>
      <c r="E1354" s="163">
        <v>-1.6987542468856174E-2</v>
      </c>
      <c r="F1354">
        <v>14.57</v>
      </c>
    </row>
    <row r="1355" spans="1:6">
      <c r="A1355">
        <v>2440</v>
      </c>
      <c r="B1355" t="s">
        <v>891</v>
      </c>
      <c r="C1355">
        <v>7.97</v>
      </c>
      <c r="D1355">
        <f>VLOOKUP(A1355,收盤價!A:C,3,0)</f>
        <v>7.83</v>
      </c>
      <c r="E1355" s="163">
        <v>-1.7565872020075243E-2</v>
      </c>
      <c r="F1355">
        <v>14.51</v>
      </c>
    </row>
    <row r="1356" spans="1:6">
      <c r="A1356">
        <v>4958</v>
      </c>
      <c r="B1356" t="s">
        <v>1217</v>
      </c>
      <c r="C1356">
        <v>79.400000000000006</v>
      </c>
      <c r="D1356">
        <f>VLOOKUP(A1356,收盤價!A:C,3,0)</f>
        <v>78</v>
      </c>
      <c r="E1356" s="163">
        <v>-1.7632241813602085E-2</v>
      </c>
      <c r="F1356">
        <v>14.45</v>
      </c>
    </row>
    <row r="1357" spans="1:6">
      <c r="A1357">
        <v>4535</v>
      </c>
      <c r="B1357" t="s">
        <v>1607</v>
      </c>
      <c r="C1357">
        <v>44.7</v>
      </c>
      <c r="D1357">
        <f>VLOOKUP(A1357,收盤價!A:C,3,0)</f>
        <v>43.9</v>
      </c>
      <c r="E1357" s="163">
        <v>-1.7897091722595172E-2</v>
      </c>
      <c r="F1357">
        <v>14.38</v>
      </c>
    </row>
    <row r="1358" spans="1:6">
      <c r="A1358">
        <v>6603</v>
      </c>
      <c r="B1358" t="s">
        <v>496</v>
      </c>
      <c r="C1358">
        <v>10.5</v>
      </c>
      <c r="D1358">
        <f>VLOOKUP(A1358,收盤價!A:C,3,0)</f>
        <v>10.3</v>
      </c>
      <c r="E1358" s="163">
        <v>-1.904761904761898E-2</v>
      </c>
      <c r="F1358">
        <v>14.32</v>
      </c>
    </row>
    <row r="1359" spans="1:6">
      <c r="A1359">
        <v>9106</v>
      </c>
      <c r="B1359" t="s">
        <v>1377</v>
      </c>
      <c r="C1359">
        <v>3.52</v>
      </c>
      <c r="D1359">
        <f>VLOOKUP(A1359,收盤價!A:C,3,0)</f>
        <v>3.45</v>
      </c>
      <c r="E1359" s="163">
        <v>-1.9886363636363591E-2</v>
      </c>
      <c r="F1359">
        <v>14.26</v>
      </c>
    </row>
    <row r="1360" spans="1:6">
      <c r="A1360">
        <v>6165</v>
      </c>
      <c r="B1360" t="s">
        <v>1276</v>
      </c>
      <c r="C1360">
        <v>12.05</v>
      </c>
      <c r="D1360">
        <f>VLOOKUP(A1360,收盤價!A:C,3,0)</f>
        <v>11.8</v>
      </c>
      <c r="E1360" s="163">
        <v>-2.0746887966804978E-2</v>
      </c>
      <c r="F1360">
        <v>14.2</v>
      </c>
    </row>
    <row r="1361" spans="1:6">
      <c r="A1361">
        <v>9943</v>
      </c>
      <c r="B1361" t="s">
        <v>1428</v>
      </c>
      <c r="C1361">
        <v>53.7</v>
      </c>
      <c r="D1361">
        <f>VLOOKUP(A1361,收盤價!A:C,3,0)</f>
        <v>52.5</v>
      </c>
      <c r="E1361" s="163">
        <v>-2.2346368715083852E-2</v>
      </c>
      <c r="F1361">
        <v>14.13</v>
      </c>
    </row>
    <row r="1362" spans="1:6">
      <c r="A1362">
        <v>9950</v>
      </c>
      <c r="B1362" t="s">
        <v>1848</v>
      </c>
      <c r="C1362">
        <v>19.8</v>
      </c>
      <c r="D1362">
        <f>VLOOKUP(A1362,收盤價!A:C,3,0)</f>
        <v>19.350000000000001</v>
      </c>
      <c r="E1362" s="163">
        <v>-2.272727272727269E-2</v>
      </c>
      <c r="F1362">
        <v>14.07</v>
      </c>
    </row>
    <row r="1363" spans="1:6">
      <c r="A1363">
        <v>3018</v>
      </c>
      <c r="B1363" t="s">
        <v>1056</v>
      </c>
      <c r="C1363">
        <v>15.35</v>
      </c>
      <c r="D1363">
        <f>VLOOKUP(A1363,收盤價!A:C,3,0)</f>
        <v>15</v>
      </c>
      <c r="E1363" s="163">
        <v>-2.280130293159607E-2</v>
      </c>
      <c r="F1363">
        <v>14.01</v>
      </c>
    </row>
    <row r="1364" spans="1:6">
      <c r="A1364">
        <v>2596</v>
      </c>
      <c r="B1364" t="s">
        <v>1454</v>
      </c>
      <c r="C1364">
        <v>12.9</v>
      </c>
      <c r="D1364">
        <f>VLOOKUP(A1364,收盤價!A:C,3,0)</f>
        <v>12.6</v>
      </c>
      <c r="E1364" s="163">
        <v>-2.3255813953488427E-2</v>
      </c>
      <c r="F1364">
        <v>13.94</v>
      </c>
    </row>
    <row r="1365" spans="1:6">
      <c r="A1365">
        <v>5314</v>
      </c>
      <c r="B1365" t="s">
        <v>1654</v>
      </c>
      <c r="C1365">
        <v>6</v>
      </c>
      <c r="D1365">
        <f>VLOOKUP(A1365,收盤價!A:C,3,0)</f>
        <v>5.86</v>
      </c>
      <c r="E1365" s="163">
        <v>-2.3333333333333279E-2</v>
      </c>
      <c r="F1365">
        <v>13.88</v>
      </c>
    </row>
    <row r="1366" spans="1:6">
      <c r="A1366">
        <v>2543</v>
      </c>
      <c r="B1366" t="s">
        <v>960</v>
      </c>
      <c r="C1366">
        <v>8.4499999999999993</v>
      </c>
      <c r="D1366">
        <f>VLOOKUP(A1366,收盤價!A:C,3,0)</f>
        <v>8.25</v>
      </c>
      <c r="E1366" s="163">
        <v>-2.3668639053254354E-2</v>
      </c>
      <c r="F1366">
        <v>13.82</v>
      </c>
    </row>
    <row r="1367" spans="1:6">
      <c r="A1367">
        <v>5902</v>
      </c>
      <c r="B1367" t="s">
        <v>447</v>
      </c>
      <c r="C1367">
        <v>10.3</v>
      </c>
      <c r="D1367">
        <f>VLOOKUP(A1367,收盤價!A:C,3,0)</f>
        <v>10.050000000000001</v>
      </c>
      <c r="E1367" s="163">
        <v>-2.4271844660194174E-2</v>
      </c>
      <c r="F1367">
        <v>13.75</v>
      </c>
    </row>
    <row r="1368" spans="1:6">
      <c r="A1368">
        <v>5904</v>
      </c>
      <c r="B1368" t="s">
        <v>448</v>
      </c>
      <c r="C1368">
        <v>318</v>
      </c>
      <c r="D1368">
        <f>VLOOKUP(A1368,收盤價!A:C,3,0)</f>
        <v>310</v>
      </c>
      <c r="E1368" s="163">
        <v>-2.5157232704402517E-2</v>
      </c>
      <c r="F1368">
        <v>13.69</v>
      </c>
    </row>
    <row r="1369" spans="1:6">
      <c r="A1369">
        <v>6179</v>
      </c>
      <c r="B1369" t="s">
        <v>463</v>
      </c>
      <c r="C1369">
        <v>36.35</v>
      </c>
      <c r="D1369">
        <f>VLOOKUP(A1369,收盤價!A:C,3,0)</f>
        <v>35.4</v>
      </c>
      <c r="E1369" s="163">
        <v>-2.6134800550206404E-2</v>
      </c>
      <c r="F1369">
        <v>13.63</v>
      </c>
    </row>
    <row r="1370" spans="1:6">
      <c r="A1370">
        <v>5356</v>
      </c>
      <c r="B1370" t="s">
        <v>1664</v>
      </c>
      <c r="C1370">
        <v>40.700000000000003</v>
      </c>
      <c r="D1370">
        <f>VLOOKUP(A1370,收盤價!A:C,3,0)</f>
        <v>39.6</v>
      </c>
      <c r="E1370" s="163">
        <v>-2.702702702702706E-2</v>
      </c>
      <c r="F1370">
        <v>13.56</v>
      </c>
    </row>
    <row r="1371" spans="1:6">
      <c r="A1371">
        <v>6231</v>
      </c>
      <c r="B1371" t="s">
        <v>476</v>
      </c>
      <c r="C1371">
        <v>25.75</v>
      </c>
      <c r="D1371">
        <f>VLOOKUP(A1371,收盤價!A:C,3,0)</f>
        <v>25.05</v>
      </c>
      <c r="E1371" s="163">
        <v>-2.7184466019417448E-2</v>
      </c>
      <c r="F1371">
        <v>13.5</v>
      </c>
    </row>
    <row r="1372" spans="1:6">
      <c r="A1372">
        <v>8906</v>
      </c>
      <c r="B1372" t="s">
        <v>1835</v>
      </c>
      <c r="C1372">
        <v>7.28</v>
      </c>
      <c r="D1372">
        <f>VLOOKUP(A1372,收盤價!A:C,3,0)</f>
        <v>7.08</v>
      </c>
      <c r="E1372" s="163">
        <v>-2.7472527472527496E-2</v>
      </c>
      <c r="F1372">
        <v>13.44</v>
      </c>
    </row>
    <row r="1373" spans="1:6">
      <c r="A1373">
        <v>1516</v>
      </c>
      <c r="B1373" t="s">
        <v>652</v>
      </c>
      <c r="C1373">
        <v>21.6</v>
      </c>
      <c r="D1373">
        <f>VLOOKUP(A1373,收盤價!A:C,3,0)</f>
        <v>21</v>
      </c>
      <c r="E1373" s="163">
        <v>-2.7777777777777842E-2</v>
      </c>
      <c r="F1373">
        <v>13.38</v>
      </c>
    </row>
    <row r="1374" spans="1:6">
      <c r="A1374">
        <v>1229</v>
      </c>
      <c r="B1374" t="s">
        <v>562</v>
      </c>
      <c r="C1374">
        <v>19.600000000000001</v>
      </c>
      <c r="D1374">
        <f>VLOOKUP(A1374,收盤價!A:C,3,0)</f>
        <v>19.05</v>
      </c>
      <c r="E1374" s="163">
        <v>-2.8061224489795953E-2</v>
      </c>
      <c r="F1374">
        <v>13.31</v>
      </c>
    </row>
    <row r="1375" spans="1:6">
      <c r="A1375">
        <v>2514</v>
      </c>
      <c r="B1375" t="s">
        <v>944</v>
      </c>
      <c r="C1375">
        <v>21.3</v>
      </c>
      <c r="D1375">
        <f>VLOOKUP(A1375,收盤價!A:C,3,0)</f>
        <v>20.7</v>
      </c>
      <c r="E1375" s="163">
        <v>-2.8169014084507109E-2</v>
      </c>
      <c r="F1375">
        <v>13.25</v>
      </c>
    </row>
    <row r="1376" spans="1:6">
      <c r="A1376">
        <v>6120</v>
      </c>
      <c r="B1376" t="s">
        <v>1263</v>
      </c>
      <c r="C1376">
        <v>10.45</v>
      </c>
      <c r="D1376">
        <f>VLOOKUP(A1376,收盤價!A:C,3,0)</f>
        <v>10.15</v>
      </c>
      <c r="E1376" s="163">
        <v>-2.8708133971291766E-2</v>
      </c>
      <c r="F1376">
        <v>13.19</v>
      </c>
    </row>
    <row r="1377" spans="1:6">
      <c r="A1377">
        <v>9927</v>
      </c>
      <c r="B1377" t="s">
        <v>1414</v>
      </c>
      <c r="C1377">
        <v>29.25</v>
      </c>
      <c r="D1377">
        <f>VLOOKUP(A1377,收盤價!A:C,3,0)</f>
        <v>28.4</v>
      </c>
      <c r="E1377" s="163">
        <v>-2.9059829059829109E-2</v>
      </c>
      <c r="F1377">
        <v>13.12</v>
      </c>
    </row>
    <row r="1378" spans="1:6">
      <c r="A1378">
        <v>3512</v>
      </c>
      <c r="B1378" t="s">
        <v>1525</v>
      </c>
      <c r="C1378">
        <v>28.95</v>
      </c>
      <c r="D1378">
        <f>VLOOKUP(A1378,收盤價!A:C,3,0)</f>
        <v>28.1</v>
      </c>
      <c r="E1378" s="163">
        <v>-2.9360967184801308E-2</v>
      </c>
      <c r="F1378">
        <v>13.06</v>
      </c>
    </row>
    <row r="1379" spans="1:6">
      <c r="A1379">
        <v>3207</v>
      </c>
      <c r="B1379" t="s">
        <v>298</v>
      </c>
      <c r="C1379">
        <v>7.98</v>
      </c>
      <c r="D1379">
        <f>VLOOKUP(A1379,收盤價!A:C,3,0)</f>
        <v>7.73</v>
      </c>
      <c r="E1379" s="163">
        <v>-3.1328320802005011E-2</v>
      </c>
      <c r="F1379">
        <v>13</v>
      </c>
    </row>
    <row r="1380" spans="1:6">
      <c r="A1380">
        <v>3266</v>
      </c>
      <c r="B1380" t="s">
        <v>1108</v>
      </c>
      <c r="C1380">
        <v>12.55</v>
      </c>
      <c r="D1380">
        <f>VLOOKUP(A1380,收盤價!A:C,3,0)</f>
        <v>12.15</v>
      </c>
      <c r="E1380" s="163">
        <v>-3.187250996015939E-2</v>
      </c>
      <c r="F1380">
        <v>12.93</v>
      </c>
    </row>
    <row r="1381" spans="1:6">
      <c r="A1381">
        <v>2812</v>
      </c>
      <c r="B1381" t="s">
        <v>998</v>
      </c>
      <c r="C1381">
        <v>9.69</v>
      </c>
      <c r="D1381">
        <f>VLOOKUP(A1381,收盤價!A:C,3,0)</f>
        <v>9.3800000000000008</v>
      </c>
      <c r="E1381" s="163">
        <v>-3.1991744066047344E-2</v>
      </c>
      <c r="F1381">
        <v>12.87</v>
      </c>
    </row>
    <row r="1382" spans="1:6">
      <c r="A1382">
        <v>1233</v>
      </c>
      <c r="B1382" t="s">
        <v>565</v>
      </c>
      <c r="C1382">
        <v>37</v>
      </c>
      <c r="D1382">
        <f>VLOOKUP(A1382,收盤價!A:C,3,0)</f>
        <v>35.799999999999997</v>
      </c>
      <c r="E1382" s="163">
        <v>-3.2432432432432511E-2</v>
      </c>
      <c r="F1382">
        <v>12.81</v>
      </c>
    </row>
    <row r="1383" spans="1:6">
      <c r="A1383">
        <v>2886</v>
      </c>
      <c r="B1383" t="s">
        <v>1022</v>
      </c>
      <c r="C1383">
        <v>22.3</v>
      </c>
      <c r="D1383">
        <f>VLOOKUP(A1383,收盤價!A:C,3,0)</f>
        <v>21.55</v>
      </c>
      <c r="E1383" s="163">
        <v>-3.3632286995515695E-2</v>
      </c>
      <c r="F1383">
        <v>12.74</v>
      </c>
    </row>
    <row r="1384" spans="1:6">
      <c r="A1384">
        <v>8908</v>
      </c>
      <c r="B1384" t="s">
        <v>523</v>
      </c>
      <c r="C1384">
        <v>35.1</v>
      </c>
      <c r="D1384">
        <f>VLOOKUP(A1384,收盤價!A:C,3,0)</f>
        <v>33.9</v>
      </c>
      <c r="E1384" s="163">
        <v>-3.4188034188034268E-2</v>
      </c>
      <c r="F1384">
        <v>12.68</v>
      </c>
    </row>
    <row r="1385" spans="1:6">
      <c r="A1385">
        <v>6154</v>
      </c>
      <c r="B1385" t="s">
        <v>456</v>
      </c>
      <c r="C1385">
        <v>17.399999999999999</v>
      </c>
      <c r="D1385">
        <f>VLOOKUP(A1385,收盤價!A:C,3,0)</f>
        <v>16.8</v>
      </c>
      <c r="E1385" s="163">
        <v>-3.4482758620689537E-2</v>
      </c>
      <c r="F1385">
        <v>12.62</v>
      </c>
    </row>
    <row r="1386" spans="1:6">
      <c r="A1386">
        <v>3521</v>
      </c>
      <c r="B1386" t="s">
        <v>1527</v>
      </c>
      <c r="C1386">
        <v>11.6</v>
      </c>
      <c r="D1386">
        <f>VLOOKUP(A1386,收盤價!A:C,3,0)</f>
        <v>11.2</v>
      </c>
      <c r="E1386" s="163">
        <v>-3.4482758620689689E-2</v>
      </c>
      <c r="F1386">
        <v>12.56</v>
      </c>
    </row>
    <row r="1387" spans="1:6">
      <c r="A1387">
        <v>5488</v>
      </c>
      <c r="B1387" t="s">
        <v>1681</v>
      </c>
      <c r="C1387">
        <v>5.46</v>
      </c>
      <c r="D1387">
        <f>VLOOKUP(A1387,收盤價!A:C,3,0)</f>
        <v>5.27</v>
      </c>
      <c r="E1387" s="163">
        <v>-3.4798534798534869E-2</v>
      </c>
      <c r="F1387">
        <v>12.49</v>
      </c>
    </row>
    <row r="1388" spans="1:6">
      <c r="A1388">
        <v>8913</v>
      </c>
      <c r="B1388" t="s">
        <v>524</v>
      </c>
      <c r="C1388">
        <v>15.55</v>
      </c>
      <c r="D1388">
        <f>VLOOKUP(A1388,收盤價!A:C,3,0)</f>
        <v>15</v>
      </c>
      <c r="E1388" s="163">
        <v>-3.536977491961419E-2</v>
      </c>
      <c r="F1388">
        <v>12.43</v>
      </c>
    </row>
    <row r="1389" spans="1:6">
      <c r="A1389">
        <v>1201</v>
      </c>
      <c r="B1389" t="s">
        <v>550</v>
      </c>
      <c r="C1389">
        <v>18.2</v>
      </c>
      <c r="D1389">
        <f>VLOOKUP(A1389,收盤價!A:C,3,0)</f>
        <v>17.55</v>
      </c>
      <c r="E1389" s="163">
        <v>-3.5714285714285636E-2</v>
      </c>
      <c r="F1389">
        <v>12.37</v>
      </c>
    </row>
    <row r="1390" spans="1:6">
      <c r="A1390">
        <v>2706</v>
      </c>
      <c r="B1390" t="s">
        <v>989</v>
      </c>
      <c r="C1390">
        <v>19.45</v>
      </c>
      <c r="D1390">
        <f>VLOOKUP(A1390,收盤價!A:C,3,0)</f>
        <v>18.75</v>
      </c>
      <c r="E1390" s="163">
        <v>-3.5989717223650353E-2</v>
      </c>
      <c r="F1390">
        <v>12.3</v>
      </c>
    </row>
    <row r="1391" spans="1:6">
      <c r="A1391">
        <v>8034</v>
      </c>
      <c r="B1391" t="s">
        <v>1777</v>
      </c>
      <c r="C1391">
        <v>5.66</v>
      </c>
      <c r="D1391">
        <f>VLOOKUP(A1391,收盤價!A:C,3,0)</f>
        <v>5.45</v>
      </c>
      <c r="E1391" s="163">
        <v>-3.7102473498233209E-2</v>
      </c>
      <c r="F1391">
        <v>12.24</v>
      </c>
    </row>
    <row r="1392" spans="1:6">
      <c r="A1392">
        <v>8935</v>
      </c>
      <c r="B1392" t="s">
        <v>531</v>
      </c>
      <c r="C1392">
        <v>6.35</v>
      </c>
      <c r="D1392">
        <f>VLOOKUP(A1392,收盤價!A:C,3,0)</f>
        <v>6.09</v>
      </c>
      <c r="E1392" s="163">
        <v>-4.0944881889763751E-2</v>
      </c>
      <c r="F1392">
        <v>12.18</v>
      </c>
    </row>
    <row r="1393" spans="1:6">
      <c r="A1393">
        <v>2606</v>
      </c>
      <c r="B1393" t="s">
        <v>969</v>
      </c>
      <c r="C1393">
        <v>28.45</v>
      </c>
      <c r="D1393">
        <f>VLOOKUP(A1393,收盤價!A:C,3,0)</f>
        <v>27.25</v>
      </c>
      <c r="E1393" s="163">
        <v>-4.2179261862917372E-2</v>
      </c>
      <c r="F1393">
        <v>12.11</v>
      </c>
    </row>
    <row r="1394" spans="1:6">
      <c r="A1394">
        <v>2474</v>
      </c>
      <c r="B1394" t="s">
        <v>916</v>
      </c>
      <c r="C1394">
        <v>294.5</v>
      </c>
      <c r="D1394">
        <f>VLOOKUP(A1394,收盤價!A:C,3,0)</f>
        <v>282</v>
      </c>
      <c r="E1394" s="163">
        <v>-4.2444821731748725E-2</v>
      </c>
      <c r="F1394">
        <v>12.05</v>
      </c>
    </row>
    <row r="1395" spans="1:6">
      <c r="A1395">
        <v>5525</v>
      </c>
      <c r="B1395" t="s">
        <v>1245</v>
      </c>
      <c r="C1395">
        <v>16.399999999999999</v>
      </c>
      <c r="D1395">
        <f>VLOOKUP(A1395,收盤價!A:C,3,0)</f>
        <v>15.7</v>
      </c>
      <c r="E1395" s="163">
        <v>-4.2682926829268254E-2</v>
      </c>
      <c r="F1395">
        <v>11.99</v>
      </c>
    </row>
    <row r="1396" spans="1:6">
      <c r="A1396">
        <v>2029</v>
      </c>
      <c r="B1396" t="s">
        <v>764</v>
      </c>
      <c r="C1396">
        <v>16.850000000000001</v>
      </c>
      <c r="D1396">
        <f>VLOOKUP(A1396,收盤價!A:C,3,0)</f>
        <v>16.100000000000001</v>
      </c>
      <c r="E1396" s="163">
        <v>-4.4510385756676554E-2</v>
      </c>
      <c r="F1396">
        <v>11.92</v>
      </c>
    </row>
    <row r="1397" spans="1:6">
      <c r="A1397">
        <v>2852</v>
      </c>
      <c r="B1397" t="s">
        <v>1012</v>
      </c>
      <c r="C1397">
        <v>12.1</v>
      </c>
      <c r="D1397">
        <f>VLOOKUP(A1397,收盤價!A:C,3,0)</f>
        <v>11.55</v>
      </c>
      <c r="E1397" s="163">
        <v>-4.5454545454545366E-2</v>
      </c>
      <c r="F1397">
        <v>11.86</v>
      </c>
    </row>
    <row r="1398" spans="1:6">
      <c r="A1398">
        <v>2891</v>
      </c>
      <c r="B1398" t="s">
        <v>1027</v>
      </c>
      <c r="C1398">
        <v>17.600000000000001</v>
      </c>
      <c r="D1398">
        <f>VLOOKUP(A1398,收盤價!A:C,3,0)</f>
        <v>16.8</v>
      </c>
      <c r="E1398" s="163">
        <v>-4.5454545454545491E-2</v>
      </c>
      <c r="F1398">
        <v>11.8</v>
      </c>
    </row>
    <row r="1399" spans="1:6">
      <c r="A1399">
        <v>9946</v>
      </c>
      <c r="B1399" t="s">
        <v>1431</v>
      </c>
      <c r="C1399">
        <v>14</v>
      </c>
      <c r="D1399">
        <f>VLOOKUP(A1399,收盤價!A:C,3,0)</f>
        <v>13.35</v>
      </c>
      <c r="E1399" s="163">
        <v>-4.6428571428571451E-2</v>
      </c>
      <c r="F1399">
        <v>11.74</v>
      </c>
    </row>
    <row r="1400" spans="1:6">
      <c r="A1400">
        <v>2609</v>
      </c>
      <c r="B1400" t="s">
        <v>972</v>
      </c>
      <c r="C1400">
        <v>9.1999999999999993</v>
      </c>
      <c r="D1400">
        <f>VLOOKUP(A1400,收盤價!A:C,3,0)</f>
        <v>8.77</v>
      </c>
      <c r="E1400" s="163">
        <v>-4.6739130434782582E-2</v>
      </c>
      <c r="F1400">
        <v>11.67</v>
      </c>
    </row>
    <row r="1401" spans="1:6">
      <c r="A1401">
        <v>1599</v>
      </c>
      <c r="B1401" t="s">
        <v>1444</v>
      </c>
      <c r="C1401">
        <v>46.9</v>
      </c>
      <c r="D1401">
        <f>VLOOKUP(A1401,收盤價!A:C,3,0)</f>
        <v>44.7</v>
      </c>
      <c r="E1401" s="163">
        <v>-4.6908315565031895E-2</v>
      </c>
      <c r="F1401">
        <v>11.61</v>
      </c>
    </row>
    <row r="1402" spans="1:6">
      <c r="A1402">
        <v>4534</v>
      </c>
      <c r="B1402" t="s">
        <v>1606</v>
      </c>
      <c r="C1402">
        <v>10.6</v>
      </c>
      <c r="D1402">
        <f>VLOOKUP(A1402,收盤價!A:C,3,0)</f>
        <v>10.1</v>
      </c>
      <c r="E1402" s="163">
        <v>-4.716981132075472E-2</v>
      </c>
      <c r="F1402">
        <v>11.55</v>
      </c>
    </row>
    <row r="1403" spans="1:6">
      <c r="A1403">
        <v>3354</v>
      </c>
      <c r="B1403" t="s">
        <v>1509</v>
      </c>
      <c r="C1403">
        <v>8.0500000000000007</v>
      </c>
      <c r="D1403">
        <f>VLOOKUP(A1403,收盤價!A:C,3,0)</f>
        <v>7.67</v>
      </c>
      <c r="E1403" s="163">
        <v>-4.7204968944099472E-2</v>
      </c>
      <c r="F1403">
        <v>11.48</v>
      </c>
    </row>
    <row r="1404" spans="1:6">
      <c r="A1404">
        <v>1476</v>
      </c>
      <c r="B1404" t="s">
        <v>642</v>
      </c>
      <c r="C1404">
        <v>457</v>
      </c>
      <c r="D1404">
        <f>VLOOKUP(A1404,收盤價!A:C,3,0)</f>
        <v>435</v>
      </c>
      <c r="E1404" s="163">
        <v>-4.8140043763676151E-2</v>
      </c>
      <c r="F1404">
        <v>11.42</v>
      </c>
    </row>
    <row r="1405" spans="1:6">
      <c r="A1405">
        <v>9960</v>
      </c>
      <c r="B1405" t="s">
        <v>535</v>
      </c>
      <c r="C1405">
        <v>20</v>
      </c>
      <c r="D1405">
        <f>VLOOKUP(A1405,收盤價!A:C,3,0)</f>
        <v>19</v>
      </c>
      <c r="E1405" s="163">
        <v>-0.05</v>
      </c>
      <c r="F1405">
        <v>11.36</v>
      </c>
    </row>
    <row r="1406" spans="1:6">
      <c r="A1406">
        <v>2527</v>
      </c>
      <c r="B1406" t="s">
        <v>949</v>
      </c>
      <c r="C1406">
        <v>17</v>
      </c>
      <c r="D1406">
        <f>VLOOKUP(A1406,收盤價!A:C,3,0)</f>
        <v>16.149999999999999</v>
      </c>
      <c r="E1406" s="163">
        <v>-5.0000000000000086E-2</v>
      </c>
      <c r="F1406">
        <v>11.29</v>
      </c>
    </row>
    <row r="1407" spans="1:6">
      <c r="A1407">
        <v>4180</v>
      </c>
      <c r="B1407" t="s">
        <v>1580</v>
      </c>
      <c r="C1407">
        <v>196</v>
      </c>
      <c r="D1407">
        <f>VLOOKUP(A1407,收盤價!A:C,3,0)</f>
        <v>186</v>
      </c>
      <c r="E1407" s="163">
        <v>-5.1020408163265307E-2</v>
      </c>
      <c r="F1407">
        <v>11.23</v>
      </c>
    </row>
    <row r="1408" spans="1:6">
      <c r="A1408">
        <v>8266</v>
      </c>
      <c r="B1408" t="s">
        <v>1814</v>
      </c>
      <c r="C1408">
        <v>27.85</v>
      </c>
      <c r="D1408">
        <f>VLOOKUP(A1408,收盤價!A:C,3,0)</f>
        <v>26.4</v>
      </c>
      <c r="E1408" s="163">
        <v>-5.2064631956912126E-2</v>
      </c>
      <c r="F1408">
        <v>11.17</v>
      </c>
    </row>
    <row r="1409" spans="1:6">
      <c r="A1409">
        <v>1417</v>
      </c>
      <c r="B1409" t="s">
        <v>600</v>
      </c>
      <c r="C1409">
        <v>5.67</v>
      </c>
      <c r="D1409">
        <f>VLOOKUP(A1409,收盤價!A:C,3,0)</f>
        <v>5.37</v>
      </c>
      <c r="E1409" s="163">
        <v>-5.2910052910052879E-2</v>
      </c>
      <c r="F1409">
        <v>11.1</v>
      </c>
    </row>
    <row r="1410" spans="1:6">
      <c r="A1410">
        <v>3444</v>
      </c>
      <c r="B1410" t="s">
        <v>1517</v>
      </c>
      <c r="C1410">
        <v>16.95</v>
      </c>
      <c r="D1410">
        <f>VLOOKUP(A1410,收盤價!A:C,3,0)</f>
        <v>16.05</v>
      </c>
      <c r="E1410" s="163">
        <v>-5.3097345132743279E-2</v>
      </c>
      <c r="F1410">
        <v>11.04</v>
      </c>
    </row>
    <row r="1411" spans="1:6">
      <c r="A1411">
        <v>1441</v>
      </c>
      <c r="B1411" t="s">
        <v>612</v>
      </c>
      <c r="C1411">
        <v>7.3</v>
      </c>
      <c r="D1411">
        <f>VLOOKUP(A1411,收盤價!A:C,3,0)</f>
        <v>6.91</v>
      </c>
      <c r="E1411" s="163">
        <v>-5.3424657534246536E-2</v>
      </c>
      <c r="F1411">
        <v>10.98</v>
      </c>
    </row>
    <row r="1412" spans="1:6">
      <c r="A1412">
        <v>2475</v>
      </c>
      <c r="B1412" t="s">
        <v>917</v>
      </c>
      <c r="C1412">
        <v>0.74</v>
      </c>
      <c r="D1412">
        <f>VLOOKUP(A1412,收盤價!A:C,3,0)</f>
        <v>0.7</v>
      </c>
      <c r="E1412" s="163">
        <v>-5.4054054054054106E-2</v>
      </c>
      <c r="F1412">
        <v>10.91</v>
      </c>
    </row>
    <row r="1413" spans="1:6">
      <c r="A1413">
        <v>4173</v>
      </c>
      <c r="B1413" t="s">
        <v>372</v>
      </c>
      <c r="C1413">
        <v>28.9</v>
      </c>
      <c r="D1413">
        <f>VLOOKUP(A1413,收盤價!A:C,3,0)</f>
        <v>27.3</v>
      </c>
      <c r="E1413" s="163">
        <v>-5.5363321799307891E-2</v>
      </c>
      <c r="F1413">
        <v>10.85</v>
      </c>
    </row>
    <row r="1414" spans="1:6">
      <c r="A1414">
        <v>5386</v>
      </c>
      <c r="B1414" t="s">
        <v>1667</v>
      </c>
      <c r="C1414">
        <v>26</v>
      </c>
      <c r="D1414">
        <f>VLOOKUP(A1414,收盤價!A:C,3,0)</f>
        <v>24.55</v>
      </c>
      <c r="E1414" s="163">
        <v>-5.5769230769230745E-2</v>
      </c>
      <c r="F1414">
        <v>10.79</v>
      </c>
    </row>
    <row r="1415" spans="1:6">
      <c r="A1415">
        <v>3362</v>
      </c>
      <c r="B1415" t="s">
        <v>1510</v>
      </c>
      <c r="C1415">
        <v>14.6</v>
      </c>
      <c r="D1415">
        <f>VLOOKUP(A1415,收盤價!A:C,3,0)</f>
        <v>13.75</v>
      </c>
      <c r="E1415" s="163">
        <v>-5.8219178082191757E-2</v>
      </c>
      <c r="F1415">
        <v>10.73</v>
      </c>
    </row>
    <row r="1416" spans="1:6">
      <c r="A1416">
        <v>5460</v>
      </c>
      <c r="B1416" t="s">
        <v>1674</v>
      </c>
      <c r="C1416">
        <v>12</v>
      </c>
      <c r="D1416">
        <f>VLOOKUP(A1416,收盤價!A:C,3,0)</f>
        <v>11.3</v>
      </c>
      <c r="E1416" s="163">
        <v>-5.8333333333333272E-2</v>
      </c>
      <c r="F1416">
        <v>10.66</v>
      </c>
    </row>
    <row r="1417" spans="1:6">
      <c r="A1417">
        <v>5603</v>
      </c>
      <c r="B1417" t="s">
        <v>444</v>
      </c>
      <c r="C1417">
        <v>15.2</v>
      </c>
      <c r="D1417">
        <f>VLOOKUP(A1417,收盤價!A:C,3,0)</f>
        <v>14.3</v>
      </c>
      <c r="E1417" s="163">
        <v>-5.921052631578938E-2</v>
      </c>
      <c r="F1417">
        <v>10.6</v>
      </c>
    </row>
    <row r="1418" spans="1:6">
      <c r="A1418">
        <v>8047</v>
      </c>
      <c r="B1418" t="s">
        <v>1782</v>
      </c>
      <c r="C1418">
        <v>11.75</v>
      </c>
      <c r="D1418">
        <f>VLOOKUP(A1418,收盤價!A:C,3,0)</f>
        <v>11.05</v>
      </c>
      <c r="E1418" s="163">
        <v>-5.9574468085106323E-2</v>
      </c>
      <c r="F1418">
        <v>10.54</v>
      </c>
    </row>
    <row r="1419" spans="1:6">
      <c r="A1419">
        <v>6174</v>
      </c>
      <c r="B1419" t="s">
        <v>1734</v>
      </c>
      <c r="C1419">
        <v>15</v>
      </c>
      <c r="D1419">
        <f>VLOOKUP(A1419,收盤價!A:C,3,0)</f>
        <v>14.1</v>
      </c>
      <c r="E1419" s="163">
        <v>-6.0000000000000026E-2</v>
      </c>
      <c r="F1419">
        <v>10.47</v>
      </c>
    </row>
    <row r="1420" spans="1:6">
      <c r="A1420">
        <v>4904</v>
      </c>
      <c r="B1420" t="s">
        <v>1203</v>
      </c>
      <c r="C1420">
        <v>71</v>
      </c>
      <c r="D1420">
        <f>VLOOKUP(A1420,收盤價!A:C,3,0)</f>
        <v>66.599999999999994</v>
      </c>
      <c r="E1420" s="163">
        <v>-6.197183098591557E-2</v>
      </c>
      <c r="F1420">
        <v>10.41</v>
      </c>
    </row>
    <row r="1421" spans="1:6">
      <c r="A1421">
        <v>3040</v>
      </c>
      <c r="B1421" t="s">
        <v>1076</v>
      </c>
      <c r="C1421">
        <v>34.450000000000003</v>
      </c>
      <c r="D1421">
        <f>VLOOKUP(A1421,收盤價!A:C,3,0)</f>
        <v>32.299999999999997</v>
      </c>
      <c r="E1421" s="163">
        <v>-6.2409288824383326E-2</v>
      </c>
      <c r="F1421">
        <v>10.35</v>
      </c>
    </row>
    <row r="1422" spans="1:6">
      <c r="A1422">
        <v>2383</v>
      </c>
      <c r="B1422" t="s">
        <v>851</v>
      </c>
      <c r="C1422">
        <v>63</v>
      </c>
      <c r="D1422">
        <f>VLOOKUP(A1422,收盤價!A:C,3,0)</f>
        <v>59</v>
      </c>
      <c r="E1422" s="163">
        <v>-6.3492063492063489E-2</v>
      </c>
      <c r="F1422">
        <v>10.28</v>
      </c>
    </row>
    <row r="1423" spans="1:6">
      <c r="A1423">
        <v>2450</v>
      </c>
      <c r="B1423" t="s">
        <v>898</v>
      </c>
      <c r="C1423">
        <v>41.7</v>
      </c>
      <c r="D1423">
        <f>VLOOKUP(A1423,收盤價!A:C,3,0)</f>
        <v>39.049999999999997</v>
      </c>
      <c r="E1423" s="163">
        <v>-6.3549160671462962E-2</v>
      </c>
      <c r="F1423">
        <v>10.220000000000001</v>
      </c>
    </row>
    <row r="1424" spans="1:6">
      <c r="A1424">
        <v>3454</v>
      </c>
      <c r="B1424" t="s">
        <v>1128</v>
      </c>
      <c r="C1424">
        <v>78</v>
      </c>
      <c r="D1424">
        <f>VLOOKUP(A1424,收盤價!A:C,3,0)</f>
        <v>73</v>
      </c>
      <c r="E1424" s="163">
        <v>-6.4102564102564097E-2</v>
      </c>
      <c r="F1424">
        <v>10.16</v>
      </c>
    </row>
    <row r="1425" spans="1:6">
      <c r="A1425">
        <v>911868</v>
      </c>
      <c r="B1425" t="s">
        <v>1389</v>
      </c>
      <c r="C1425">
        <v>2.33</v>
      </c>
      <c r="D1425">
        <f>VLOOKUP(A1425,收盤價!A:C,3,0)</f>
        <v>2.1800000000000002</v>
      </c>
      <c r="E1425" s="163">
        <v>-6.4377682403433431E-2</v>
      </c>
      <c r="F1425">
        <v>10.09</v>
      </c>
    </row>
    <row r="1426" spans="1:6">
      <c r="A1426">
        <v>2881</v>
      </c>
      <c r="B1426" t="s">
        <v>1017</v>
      </c>
      <c r="C1426">
        <v>50.3</v>
      </c>
      <c r="D1426">
        <f>VLOOKUP(A1426,收盤價!A:C,3,0)</f>
        <v>47.05</v>
      </c>
      <c r="E1426" s="163">
        <v>-6.4612326043737581E-2</v>
      </c>
      <c r="F1426">
        <v>10.029999999999999</v>
      </c>
    </row>
    <row r="1427" spans="1:6">
      <c r="A1427">
        <v>3685</v>
      </c>
      <c r="B1427" t="s">
        <v>1556</v>
      </c>
      <c r="C1427">
        <v>47.25</v>
      </c>
      <c r="D1427">
        <f>VLOOKUP(A1427,收盤價!A:C,3,0)</f>
        <v>44.15</v>
      </c>
      <c r="E1427" s="163">
        <v>-6.5608465608465644E-2</v>
      </c>
      <c r="F1427">
        <v>9.9700000000000006</v>
      </c>
    </row>
    <row r="1428" spans="1:6">
      <c r="A1428">
        <v>8928</v>
      </c>
      <c r="B1428" t="s">
        <v>528</v>
      </c>
      <c r="C1428">
        <v>42.3</v>
      </c>
      <c r="D1428">
        <f>VLOOKUP(A1428,收盤價!A:C,3,0)</f>
        <v>39.450000000000003</v>
      </c>
      <c r="E1428" s="163">
        <v>-6.737588652482257E-2</v>
      </c>
      <c r="F1428">
        <v>9.91</v>
      </c>
    </row>
    <row r="1429" spans="1:6">
      <c r="A1429">
        <v>3294</v>
      </c>
      <c r="B1429" t="s">
        <v>313</v>
      </c>
      <c r="C1429">
        <v>19.2</v>
      </c>
      <c r="D1429">
        <f>VLOOKUP(A1429,收盤價!A:C,3,0)</f>
        <v>17.899999999999999</v>
      </c>
      <c r="E1429" s="163">
        <v>-6.770833333333337E-2</v>
      </c>
      <c r="F1429">
        <v>9.84</v>
      </c>
    </row>
    <row r="1430" spans="1:6">
      <c r="A1430">
        <v>1309</v>
      </c>
      <c r="B1430" t="s">
        <v>576</v>
      </c>
      <c r="C1430">
        <v>8.1199999999999992</v>
      </c>
      <c r="D1430">
        <f>VLOOKUP(A1430,收盤價!A:C,3,0)</f>
        <v>7.57</v>
      </c>
      <c r="E1430" s="163">
        <v>-6.7733990147783127E-2</v>
      </c>
      <c r="F1430">
        <v>9.7799999999999994</v>
      </c>
    </row>
    <row r="1431" spans="1:6">
      <c r="A1431">
        <v>2385</v>
      </c>
      <c r="B1431" t="s">
        <v>852</v>
      </c>
      <c r="C1431">
        <v>77.900000000000006</v>
      </c>
      <c r="D1431">
        <f>VLOOKUP(A1431,收盤價!A:C,3,0)</f>
        <v>72.400000000000006</v>
      </c>
      <c r="E1431" s="163">
        <v>-7.0603337612323486E-2</v>
      </c>
      <c r="F1431">
        <v>9.7200000000000006</v>
      </c>
    </row>
    <row r="1432" spans="1:6">
      <c r="A1432">
        <v>3609</v>
      </c>
      <c r="B1432" t="s">
        <v>349</v>
      </c>
      <c r="C1432">
        <v>13.4</v>
      </c>
      <c r="D1432">
        <f>VLOOKUP(A1432,收盤價!A:C,3,0)</f>
        <v>12.45</v>
      </c>
      <c r="E1432" s="163">
        <v>-7.0895522388059781E-2</v>
      </c>
      <c r="F1432">
        <v>9.65</v>
      </c>
    </row>
    <row r="1433" spans="1:6">
      <c r="A1433">
        <v>9910</v>
      </c>
      <c r="B1433" t="s">
        <v>1403</v>
      </c>
      <c r="C1433">
        <v>183</v>
      </c>
      <c r="D1433">
        <f>VLOOKUP(A1433,收盤價!A:C,3,0)</f>
        <v>170</v>
      </c>
      <c r="E1433" s="163">
        <v>-7.1038251366120214E-2</v>
      </c>
      <c r="F1433">
        <v>9.59</v>
      </c>
    </row>
    <row r="1434" spans="1:6">
      <c r="A1434">
        <v>1570</v>
      </c>
      <c r="B1434" t="s">
        <v>1438</v>
      </c>
      <c r="C1434">
        <v>17.55</v>
      </c>
      <c r="D1434">
        <f>VLOOKUP(A1434,收盤價!A:C,3,0)</f>
        <v>16.3</v>
      </c>
      <c r="E1434" s="163">
        <v>-7.1225071225071226E-2</v>
      </c>
      <c r="F1434">
        <v>9.5299999999999994</v>
      </c>
    </row>
    <row r="1435" spans="1:6">
      <c r="A1435">
        <v>4549</v>
      </c>
      <c r="B1435" t="s">
        <v>383</v>
      </c>
      <c r="C1435">
        <v>82.8</v>
      </c>
      <c r="D1435">
        <f>VLOOKUP(A1435,收盤價!A:C,3,0)</f>
        <v>76.900000000000006</v>
      </c>
      <c r="E1435" s="163">
        <v>-7.1256038647342895E-2</v>
      </c>
      <c r="F1435">
        <v>9.4600000000000009</v>
      </c>
    </row>
    <row r="1436" spans="1:6">
      <c r="A1436">
        <v>5259</v>
      </c>
      <c r="B1436" t="s">
        <v>1230</v>
      </c>
      <c r="C1436">
        <v>7.43</v>
      </c>
      <c r="D1436">
        <f>VLOOKUP(A1436,收盤價!A:C,3,0)</f>
        <v>6.9</v>
      </c>
      <c r="E1436" s="163">
        <v>-7.133243606998646E-2</v>
      </c>
      <c r="F1436">
        <v>9.4</v>
      </c>
    </row>
    <row r="1437" spans="1:6">
      <c r="A1437">
        <v>1477</v>
      </c>
      <c r="B1437" t="s">
        <v>643</v>
      </c>
      <c r="C1437">
        <v>250</v>
      </c>
      <c r="D1437">
        <f>VLOOKUP(A1437,收盤價!A:C,3,0)</f>
        <v>232</v>
      </c>
      <c r="E1437" s="163">
        <v>-7.1999999999999995E-2</v>
      </c>
      <c r="F1437">
        <v>9.34</v>
      </c>
    </row>
    <row r="1438" spans="1:6">
      <c r="A1438">
        <v>2488</v>
      </c>
      <c r="B1438" t="s">
        <v>928</v>
      </c>
      <c r="C1438">
        <v>25.6</v>
      </c>
      <c r="D1438">
        <f>VLOOKUP(A1438,收盤價!A:C,3,0)</f>
        <v>23.75</v>
      </c>
      <c r="E1438" s="163">
        <v>-7.2265625000000056E-2</v>
      </c>
      <c r="F1438">
        <v>9.27</v>
      </c>
    </row>
    <row r="1439" spans="1:6">
      <c r="A1439">
        <v>912398</v>
      </c>
      <c r="B1439" t="s">
        <v>1391</v>
      </c>
      <c r="C1439">
        <v>8.3000000000000007</v>
      </c>
      <c r="D1439">
        <f>VLOOKUP(A1439,收盤價!A:C,3,0)</f>
        <v>7.69</v>
      </c>
      <c r="E1439" s="163">
        <v>-7.3493975903614492E-2</v>
      </c>
      <c r="F1439">
        <v>9.2100000000000009</v>
      </c>
    </row>
    <row r="1440" spans="1:6">
      <c r="A1440">
        <v>3046</v>
      </c>
      <c r="B1440" t="s">
        <v>1082</v>
      </c>
      <c r="C1440">
        <v>9.82</v>
      </c>
      <c r="D1440">
        <f>VLOOKUP(A1440,收盤價!A:C,3,0)</f>
        <v>9.09</v>
      </c>
      <c r="E1440" s="163">
        <v>-7.433808553971491E-2</v>
      </c>
      <c r="F1440">
        <v>9.15</v>
      </c>
    </row>
    <row r="1441" spans="1:6">
      <c r="A1441">
        <v>1457</v>
      </c>
      <c r="B1441" t="s">
        <v>626</v>
      </c>
      <c r="C1441">
        <v>12.1</v>
      </c>
      <c r="D1441">
        <f>VLOOKUP(A1441,收盤價!A:C,3,0)</f>
        <v>11.2</v>
      </c>
      <c r="E1441" s="163">
        <v>-7.4380165289256228E-2</v>
      </c>
      <c r="F1441">
        <v>9.09</v>
      </c>
    </row>
    <row r="1442" spans="1:6">
      <c r="A1442">
        <v>2035</v>
      </c>
      <c r="B1442" t="s">
        <v>1451</v>
      </c>
      <c r="C1442">
        <v>48.3</v>
      </c>
      <c r="D1442">
        <f>VLOOKUP(A1442,收盤價!A:C,3,0)</f>
        <v>44.7</v>
      </c>
      <c r="E1442" s="163">
        <v>-7.4534161490683121E-2</v>
      </c>
      <c r="F1442">
        <v>9.02</v>
      </c>
    </row>
    <row r="1443" spans="1:6">
      <c r="A1443">
        <v>2109</v>
      </c>
      <c r="B1443" t="s">
        <v>782</v>
      </c>
      <c r="C1443">
        <v>12</v>
      </c>
      <c r="D1443">
        <f>VLOOKUP(A1443,收盤價!A:C,3,0)</f>
        <v>11.1</v>
      </c>
      <c r="E1443" s="163">
        <v>-7.5000000000000025E-2</v>
      </c>
      <c r="F1443">
        <v>8.9600000000000009</v>
      </c>
    </row>
    <row r="1444" spans="1:6">
      <c r="A1444">
        <v>5310</v>
      </c>
      <c r="B1444" t="s">
        <v>1653</v>
      </c>
      <c r="C1444">
        <v>29.2</v>
      </c>
      <c r="D1444">
        <f>VLOOKUP(A1444,收盤價!A:C,3,0)</f>
        <v>27</v>
      </c>
      <c r="E1444" s="163">
        <v>-7.5342465753424639E-2</v>
      </c>
      <c r="F1444">
        <v>8.9</v>
      </c>
    </row>
    <row r="1445" spans="1:6">
      <c r="A1445">
        <v>2524</v>
      </c>
      <c r="B1445" t="s">
        <v>948</v>
      </c>
      <c r="C1445">
        <v>20.25</v>
      </c>
      <c r="D1445">
        <f>VLOOKUP(A1445,收盤價!A:C,3,0)</f>
        <v>18.7</v>
      </c>
      <c r="E1445" s="163">
        <v>-7.6543209876543242E-2</v>
      </c>
      <c r="F1445">
        <v>8.83</v>
      </c>
    </row>
    <row r="1446" spans="1:6">
      <c r="A1446">
        <v>2618</v>
      </c>
      <c r="B1446" t="s">
        <v>981</v>
      </c>
      <c r="C1446">
        <v>20.2</v>
      </c>
      <c r="D1446">
        <f>VLOOKUP(A1446,收盤價!A:C,3,0)</f>
        <v>18.649999999999999</v>
      </c>
      <c r="E1446" s="163">
        <v>-7.6732673267326773E-2</v>
      </c>
      <c r="F1446">
        <v>8.77</v>
      </c>
    </row>
    <row r="1447" spans="1:6">
      <c r="A1447">
        <v>6176</v>
      </c>
      <c r="B1447" t="s">
        <v>1280</v>
      </c>
      <c r="C1447">
        <v>83.2</v>
      </c>
      <c r="D1447">
        <f>VLOOKUP(A1447,收盤價!A:C,3,0)</f>
        <v>76.7</v>
      </c>
      <c r="E1447" s="163">
        <v>-7.8125E-2</v>
      </c>
      <c r="F1447">
        <v>8.7100000000000009</v>
      </c>
    </row>
    <row r="1448" spans="1:6">
      <c r="A1448">
        <v>5903</v>
      </c>
      <c r="B1448" t="s">
        <v>1699</v>
      </c>
      <c r="C1448">
        <v>217</v>
      </c>
      <c r="D1448">
        <f>VLOOKUP(A1448,收盤價!A:C,3,0)</f>
        <v>200</v>
      </c>
      <c r="E1448" s="163">
        <v>-7.8341013824884786E-2</v>
      </c>
      <c r="F1448">
        <v>8.64</v>
      </c>
    </row>
    <row r="1449" spans="1:6">
      <c r="A1449">
        <v>6113</v>
      </c>
      <c r="B1449" t="s">
        <v>1712</v>
      </c>
      <c r="C1449">
        <v>8.7799999999999994</v>
      </c>
      <c r="D1449">
        <f>VLOOKUP(A1449,收盤價!A:C,3,0)</f>
        <v>8.08</v>
      </c>
      <c r="E1449" s="163">
        <v>-7.9726651480637734E-2</v>
      </c>
      <c r="F1449">
        <v>8.58</v>
      </c>
    </row>
    <row r="1450" spans="1:6">
      <c r="A1450">
        <v>2615</v>
      </c>
      <c r="B1450" t="s">
        <v>978</v>
      </c>
      <c r="C1450">
        <v>20</v>
      </c>
      <c r="D1450">
        <f>VLOOKUP(A1450,收盤價!A:C,3,0)</f>
        <v>18.399999999999999</v>
      </c>
      <c r="E1450" s="163">
        <v>-8.0000000000000071E-2</v>
      </c>
      <c r="F1450">
        <v>8.52</v>
      </c>
    </row>
    <row r="1451" spans="1:6">
      <c r="A1451">
        <v>2538</v>
      </c>
      <c r="B1451" t="s">
        <v>956</v>
      </c>
      <c r="C1451">
        <v>16.05</v>
      </c>
      <c r="D1451">
        <f>VLOOKUP(A1451,收盤價!A:C,3,0)</f>
        <v>14.75</v>
      </c>
      <c r="E1451" s="163">
        <v>-8.0996884735202529E-2</v>
      </c>
      <c r="F1451">
        <v>8.4499999999999993</v>
      </c>
    </row>
    <row r="1452" spans="1:6">
      <c r="A1452">
        <v>3162</v>
      </c>
      <c r="B1452" t="s">
        <v>1480</v>
      </c>
      <c r="C1452">
        <v>6.14</v>
      </c>
      <c r="D1452">
        <f>VLOOKUP(A1452,收盤價!A:C,3,0)</f>
        <v>5.64</v>
      </c>
      <c r="E1452" s="163">
        <v>-8.1433224755700334E-2</v>
      </c>
      <c r="F1452">
        <v>8.39</v>
      </c>
    </row>
    <row r="1453" spans="1:6">
      <c r="A1453">
        <v>2107</v>
      </c>
      <c r="B1453" t="s">
        <v>780</v>
      </c>
      <c r="C1453">
        <v>18.2</v>
      </c>
      <c r="D1453">
        <f>VLOOKUP(A1453,收盤價!A:C,3,0)</f>
        <v>16.7</v>
      </c>
      <c r="E1453" s="163">
        <v>-8.2417582417582416E-2</v>
      </c>
      <c r="F1453">
        <v>8.33</v>
      </c>
    </row>
    <row r="1454" spans="1:6">
      <c r="A1454">
        <v>2104</v>
      </c>
      <c r="B1454" t="s">
        <v>777</v>
      </c>
      <c r="C1454">
        <v>25.6</v>
      </c>
      <c r="D1454">
        <f>VLOOKUP(A1454,收盤價!A:C,3,0)</f>
        <v>23.4</v>
      </c>
      <c r="E1454" s="163">
        <v>-8.5937500000000111E-2</v>
      </c>
      <c r="F1454">
        <v>8.26</v>
      </c>
    </row>
    <row r="1455" spans="1:6">
      <c r="A1455">
        <v>5251</v>
      </c>
      <c r="B1455" t="s">
        <v>410</v>
      </c>
      <c r="C1455">
        <v>33.5</v>
      </c>
      <c r="D1455">
        <f>VLOOKUP(A1455,收盤價!A:C,3,0)</f>
        <v>30.6</v>
      </c>
      <c r="E1455" s="163">
        <v>-8.6567164179104442E-2</v>
      </c>
      <c r="F1455">
        <v>8.1999999999999993</v>
      </c>
    </row>
    <row r="1456" spans="1:6">
      <c r="A1456">
        <v>2020</v>
      </c>
      <c r="B1456" t="s">
        <v>757</v>
      </c>
      <c r="C1456">
        <v>13.25</v>
      </c>
      <c r="D1456">
        <f>VLOOKUP(A1456,收盤價!A:C,3,0)</f>
        <v>12.1</v>
      </c>
      <c r="E1456" s="163">
        <v>-8.6792452830188702E-2</v>
      </c>
      <c r="F1456">
        <v>8.14</v>
      </c>
    </row>
    <row r="1457" spans="1:6">
      <c r="A1457">
        <v>3290</v>
      </c>
      <c r="B1457" t="s">
        <v>1500</v>
      </c>
      <c r="C1457">
        <v>15.05</v>
      </c>
      <c r="D1457">
        <f>VLOOKUP(A1457,收盤價!A:C,3,0)</f>
        <v>13.7</v>
      </c>
      <c r="E1457" s="163">
        <v>-8.9700996677740952E-2</v>
      </c>
      <c r="F1457">
        <v>8.08</v>
      </c>
    </row>
    <row r="1458" spans="1:6">
      <c r="A1458">
        <v>6177</v>
      </c>
      <c r="B1458" t="s">
        <v>1281</v>
      </c>
      <c r="C1458">
        <v>23.4</v>
      </c>
      <c r="D1458">
        <f>VLOOKUP(A1458,收盤價!A:C,3,0)</f>
        <v>21.3</v>
      </c>
      <c r="E1458" s="163">
        <v>-8.9743589743589661E-2</v>
      </c>
      <c r="F1458">
        <v>8.01</v>
      </c>
    </row>
    <row r="1459" spans="1:6">
      <c r="A1459">
        <v>4417</v>
      </c>
      <c r="B1459" t="s">
        <v>1591</v>
      </c>
      <c r="C1459">
        <v>38.25</v>
      </c>
      <c r="D1459">
        <f>VLOOKUP(A1459,收盤價!A:C,3,0)</f>
        <v>34.75</v>
      </c>
      <c r="E1459" s="163">
        <v>-9.1503267973856203E-2</v>
      </c>
      <c r="F1459">
        <v>7.95</v>
      </c>
    </row>
    <row r="1460" spans="1:6">
      <c r="A1460">
        <v>2528</v>
      </c>
      <c r="B1460" t="s">
        <v>950</v>
      </c>
      <c r="C1460">
        <v>9.48</v>
      </c>
      <c r="D1460">
        <f>VLOOKUP(A1460,收盤價!A:C,3,0)</f>
        <v>8.6</v>
      </c>
      <c r="E1460" s="163">
        <v>-9.2827004219409356E-2</v>
      </c>
      <c r="F1460">
        <v>7.89</v>
      </c>
    </row>
    <row r="1461" spans="1:6">
      <c r="A1461">
        <v>3661</v>
      </c>
      <c r="B1461" t="s">
        <v>1163</v>
      </c>
      <c r="C1461">
        <v>35.950000000000003</v>
      </c>
      <c r="D1461">
        <f>VLOOKUP(A1461,收盤價!A:C,3,0)</f>
        <v>32.6</v>
      </c>
      <c r="E1461" s="163">
        <v>-9.3184979137691276E-2</v>
      </c>
      <c r="F1461">
        <v>7.82</v>
      </c>
    </row>
    <row r="1462" spans="1:6">
      <c r="A1462">
        <v>1455</v>
      </c>
      <c r="B1462" t="s">
        <v>624</v>
      </c>
      <c r="C1462">
        <v>9</v>
      </c>
      <c r="D1462">
        <f>VLOOKUP(A1462,收盤價!A:C,3,0)</f>
        <v>8.16</v>
      </c>
      <c r="E1462" s="163">
        <v>-9.3333333333333324E-2</v>
      </c>
      <c r="F1462">
        <v>7.76</v>
      </c>
    </row>
    <row r="1463" spans="1:6">
      <c r="A1463">
        <v>1234</v>
      </c>
      <c r="B1463" t="s">
        <v>566</v>
      </c>
      <c r="C1463">
        <v>34.5</v>
      </c>
      <c r="D1463">
        <f>VLOOKUP(A1463,收盤價!A:C,3,0)</f>
        <v>31.25</v>
      </c>
      <c r="E1463" s="163">
        <v>-9.420289855072464E-2</v>
      </c>
      <c r="F1463">
        <v>7.7</v>
      </c>
    </row>
    <row r="1464" spans="1:6">
      <c r="A1464">
        <v>8101</v>
      </c>
      <c r="B1464" t="s">
        <v>1343</v>
      </c>
      <c r="C1464">
        <v>8.5500000000000007</v>
      </c>
      <c r="D1464">
        <f>VLOOKUP(A1464,收盤價!A:C,3,0)</f>
        <v>7.74</v>
      </c>
      <c r="E1464" s="163">
        <v>-9.4736842105263203E-2</v>
      </c>
      <c r="F1464">
        <v>7.63</v>
      </c>
    </row>
    <row r="1465" spans="1:6">
      <c r="A1465">
        <v>1805</v>
      </c>
      <c r="B1465" t="s">
        <v>733</v>
      </c>
      <c r="C1465">
        <v>7.8</v>
      </c>
      <c r="D1465">
        <f>VLOOKUP(A1465,收盤價!A:C,3,0)</f>
        <v>6.98</v>
      </c>
      <c r="E1465" s="163">
        <v>-0.10512820512820506</v>
      </c>
      <c r="F1465">
        <v>7.57</v>
      </c>
    </row>
    <row r="1466" spans="1:6">
      <c r="A1466">
        <v>1456</v>
      </c>
      <c r="B1466" t="s">
        <v>625</v>
      </c>
      <c r="C1466">
        <v>5.71</v>
      </c>
      <c r="D1466">
        <f>VLOOKUP(A1466,收盤價!A:C,3,0)</f>
        <v>5.0999999999999996</v>
      </c>
      <c r="E1466" s="163">
        <v>-0.10683012259194402</v>
      </c>
      <c r="F1466">
        <v>7.51</v>
      </c>
    </row>
    <row r="1467" spans="1:6">
      <c r="A1467">
        <v>3002</v>
      </c>
      <c r="B1467" t="s">
        <v>1044</v>
      </c>
      <c r="C1467">
        <v>11.5</v>
      </c>
      <c r="D1467">
        <f>VLOOKUP(A1467,收盤價!A:C,3,0)</f>
        <v>10.25</v>
      </c>
      <c r="E1467" s="163">
        <v>-0.10869565217391304</v>
      </c>
      <c r="F1467">
        <v>7.44</v>
      </c>
    </row>
    <row r="1468" spans="1:6">
      <c r="A1468">
        <v>3310</v>
      </c>
      <c r="B1468" t="s">
        <v>1503</v>
      </c>
      <c r="C1468">
        <v>14.6</v>
      </c>
      <c r="D1468">
        <f>VLOOKUP(A1468,收盤價!A:C,3,0)</f>
        <v>12.95</v>
      </c>
      <c r="E1468" s="163">
        <v>-0.11301369863013701</v>
      </c>
      <c r="F1468">
        <v>7.38</v>
      </c>
    </row>
    <row r="1469" spans="1:6">
      <c r="A1469">
        <v>1452</v>
      </c>
      <c r="B1469" t="s">
        <v>621</v>
      </c>
      <c r="C1469">
        <v>25.85</v>
      </c>
      <c r="D1469">
        <f>VLOOKUP(A1469,收盤價!A:C,3,0)</f>
        <v>22.9</v>
      </c>
      <c r="E1469" s="163">
        <v>-0.11411992263056103</v>
      </c>
      <c r="F1469">
        <v>7.32</v>
      </c>
    </row>
    <row r="1470" spans="1:6">
      <c r="A1470">
        <v>2734</v>
      </c>
      <c r="B1470" t="s">
        <v>282</v>
      </c>
      <c r="C1470">
        <v>27.2</v>
      </c>
      <c r="D1470">
        <f>VLOOKUP(A1470,收盤價!A:C,3,0)</f>
        <v>24.05</v>
      </c>
      <c r="E1470" s="163">
        <v>-0.11580882352941171</v>
      </c>
      <c r="F1470">
        <v>7.26</v>
      </c>
    </row>
    <row r="1471" spans="1:6">
      <c r="A1471">
        <v>911613</v>
      </c>
      <c r="B1471" t="s">
        <v>1847</v>
      </c>
      <c r="C1471">
        <v>7.06</v>
      </c>
      <c r="D1471">
        <f>VLOOKUP(A1471,收盤價!A:C,3,0)</f>
        <v>6.24</v>
      </c>
      <c r="E1471" s="163">
        <v>-0.11614730878186962</v>
      </c>
      <c r="F1471">
        <v>7.19</v>
      </c>
    </row>
    <row r="1472" spans="1:6">
      <c r="A1472">
        <v>9933</v>
      </c>
      <c r="B1472" t="s">
        <v>1419</v>
      </c>
      <c r="C1472">
        <v>39.700000000000003</v>
      </c>
      <c r="D1472">
        <f>VLOOKUP(A1472,收盤價!A:C,3,0)</f>
        <v>35</v>
      </c>
      <c r="E1472" s="163">
        <v>-0.1183879093198993</v>
      </c>
      <c r="F1472">
        <v>7.13</v>
      </c>
    </row>
    <row r="1473" spans="1:6">
      <c r="A1473">
        <v>5465</v>
      </c>
      <c r="B1473" t="s">
        <v>436</v>
      </c>
      <c r="C1473">
        <v>11.35</v>
      </c>
      <c r="D1473">
        <f>VLOOKUP(A1473,收盤價!A:C,3,0)</f>
        <v>10</v>
      </c>
      <c r="E1473" s="163">
        <v>-0.11894273127753301</v>
      </c>
      <c r="F1473">
        <v>7.07</v>
      </c>
    </row>
    <row r="1474" spans="1:6">
      <c r="A1474">
        <v>8941</v>
      </c>
      <c r="B1474" t="s">
        <v>533</v>
      </c>
      <c r="C1474">
        <v>96.8</v>
      </c>
      <c r="D1474">
        <f>VLOOKUP(A1474,收盤價!A:C,3,0)</f>
        <v>84.8</v>
      </c>
      <c r="E1474" s="163">
        <v>-0.12396694214876033</v>
      </c>
      <c r="F1474">
        <v>7</v>
      </c>
    </row>
    <row r="1475" spans="1:6">
      <c r="A1475">
        <v>4907</v>
      </c>
      <c r="B1475" t="s">
        <v>1621</v>
      </c>
      <c r="C1475">
        <v>12.7</v>
      </c>
      <c r="D1475">
        <f>VLOOKUP(A1475,收盤價!A:C,3,0)</f>
        <v>11.1</v>
      </c>
      <c r="E1475" s="163">
        <v>-0.12598425196850391</v>
      </c>
      <c r="F1475">
        <v>6.94</v>
      </c>
    </row>
    <row r="1476" spans="1:6">
      <c r="A1476">
        <v>1101</v>
      </c>
      <c r="B1476" t="s">
        <v>544</v>
      </c>
      <c r="C1476">
        <v>32</v>
      </c>
      <c r="D1476">
        <f>VLOOKUP(A1476,收盤價!A:C,3,0)</f>
        <v>27.95</v>
      </c>
      <c r="E1476" s="163">
        <v>-0.12656250000000002</v>
      </c>
      <c r="F1476">
        <v>6.88</v>
      </c>
    </row>
    <row r="1477" spans="1:6">
      <c r="A1477">
        <v>2049</v>
      </c>
      <c r="B1477" t="s">
        <v>771</v>
      </c>
      <c r="C1477">
        <v>150</v>
      </c>
      <c r="D1477">
        <f>VLOOKUP(A1477,收盤價!A:C,3,0)</f>
        <v>131</v>
      </c>
      <c r="E1477" s="163">
        <v>-0.12666666666666668</v>
      </c>
      <c r="F1477">
        <v>6.81</v>
      </c>
    </row>
    <row r="1478" spans="1:6">
      <c r="A1478">
        <v>3013</v>
      </c>
      <c r="B1478" t="s">
        <v>1052</v>
      </c>
      <c r="C1478">
        <v>18.149999999999999</v>
      </c>
      <c r="D1478">
        <f>VLOOKUP(A1478,收盤價!A:C,3,0)</f>
        <v>15.85</v>
      </c>
      <c r="E1478" s="163">
        <v>-0.1267217630853994</v>
      </c>
      <c r="F1478">
        <v>6.75</v>
      </c>
    </row>
    <row r="1479" spans="1:6">
      <c r="A1479">
        <v>2067</v>
      </c>
      <c r="B1479" t="s">
        <v>1452</v>
      </c>
      <c r="C1479">
        <v>16</v>
      </c>
      <c r="D1479">
        <f>VLOOKUP(A1479,收盤價!A:C,3,0)</f>
        <v>13.85</v>
      </c>
      <c r="E1479" s="163">
        <v>-0.13437500000000002</v>
      </c>
      <c r="F1479">
        <v>6.69</v>
      </c>
    </row>
    <row r="1480" spans="1:6">
      <c r="A1480">
        <v>1102</v>
      </c>
      <c r="B1480" t="s">
        <v>545</v>
      </c>
      <c r="C1480">
        <v>32.299999999999997</v>
      </c>
      <c r="D1480">
        <f>VLOOKUP(A1480,收盤價!A:C,3,0)</f>
        <v>27.8</v>
      </c>
      <c r="E1480" s="163">
        <v>-0.13931888544891632</v>
      </c>
      <c r="F1480">
        <v>6.62</v>
      </c>
    </row>
    <row r="1481" spans="1:6">
      <c r="A1481">
        <v>3312</v>
      </c>
      <c r="B1481" t="s">
        <v>1113</v>
      </c>
      <c r="C1481">
        <v>7.38</v>
      </c>
      <c r="D1481">
        <f>VLOOKUP(A1481,收盤價!A:C,3,0)</f>
        <v>6.27</v>
      </c>
      <c r="E1481" s="163">
        <v>-0.15040650406504069</v>
      </c>
      <c r="F1481">
        <v>6.56</v>
      </c>
    </row>
    <row r="1482" spans="1:6">
      <c r="A1482">
        <v>3008</v>
      </c>
      <c r="B1482" t="s">
        <v>1049</v>
      </c>
      <c r="C1482">
        <v>2680</v>
      </c>
      <c r="D1482">
        <f>VLOOKUP(A1482,收盤價!A:C,3,0)</f>
        <v>2275</v>
      </c>
      <c r="E1482" s="163">
        <v>-0.15111940298507462</v>
      </c>
      <c r="F1482">
        <v>6.5</v>
      </c>
    </row>
    <row r="1483" spans="1:6">
      <c r="A1483">
        <v>8291</v>
      </c>
      <c r="B1483" t="s">
        <v>1818</v>
      </c>
      <c r="C1483">
        <v>5.78</v>
      </c>
      <c r="D1483">
        <f>VLOOKUP(A1483,收盤價!A:C,3,0)</f>
        <v>4.9000000000000004</v>
      </c>
      <c r="E1483" s="163">
        <v>-0.15224913494809686</v>
      </c>
      <c r="F1483">
        <v>6.44</v>
      </c>
    </row>
    <row r="1484" spans="1:6">
      <c r="A1484">
        <v>5906</v>
      </c>
      <c r="B1484" t="s">
        <v>1255</v>
      </c>
      <c r="C1484">
        <v>2.4300000000000002</v>
      </c>
      <c r="D1484">
        <f>VLOOKUP(A1484,收盤價!A:C,3,0)</f>
        <v>2.06</v>
      </c>
      <c r="E1484" s="163">
        <v>-0.15226337448559674</v>
      </c>
      <c r="F1484">
        <v>6.37</v>
      </c>
    </row>
    <row r="1485" spans="1:6">
      <c r="A1485">
        <v>2354</v>
      </c>
      <c r="B1485" t="s">
        <v>827</v>
      </c>
      <c r="C1485">
        <v>84.7</v>
      </c>
      <c r="D1485">
        <f>VLOOKUP(A1485,收盤價!A:C,3,0)</f>
        <v>71.3</v>
      </c>
      <c r="E1485" s="163">
        <v>-0.15820543093270373</v>
      </c>
      <c r="F1485">
        <v>6.31</v>
      </c>
    </row>
    <row r="1486" spans="1:6">
      <c r="A1486">
        <v>4401</v>
      </c>
      <c r="B1486" t="s">
        <v>1587</v>
      </c>
      <c r="C1486">
        <v>108.5</v>
      </c>
      <c r="D1486">
        <f>VLOOKUP(A1486,收盤價!A:C,3,0)</f>
        <v>91.3</v>
      </c>
      <c r="E1486" s="163">
        <v>-0.15852534562211984</v>
      </c>
      <c r="F1486">
        <v>6.25</v>
      </c>
    </row>
    <row r="1487" spans="1:6">
      <c r="A1487">
        <v>2924</v>
      </c>
      <c r="B1487" t="s">
        <v>1463</v>
      </c>
      <c r="C1487">
        <v>72</v>
      </c>
      <c r="D1487">
        <f>VLOOKUP(A1487,收盤價!A:C,3,0)</f>
        <v>60.4</v>
      </c>
      <c r="E1487" s="163">
        <v>-0.16111111111111112</v>
      </c>
      <c r="F1487">
        <v>6.18</v>
      </c>
    </row>
    <row r="1488" spans="1:6">
      <c r="A1488">
        <v>5304</v>
      </c>
      <c r="B1488" t="s">
        <v>418</v>
      </c>
      <c r="C1488">
        <v>3.46</v>
      </c>
      <c r="D1488">
        <f>VLOOKUP(A1488,收盤價!A:C,3,0)</f>
        <v>2.9</v>
      </c>
      <c r="E1488" s="163">
        <v>-0.16184971098265899</v>
      </c>
      <c r="F1488">
        <v>6.12</v>
      </c>
    </row>
    <row r="1489" spans="1:6">
      <c r="A1489">
        <v>4950</v>
      </c>
      <c r="B1489" t="s">
        <v>397</v>
      </c>
      <c r="C1489">
        <v>21.25</v>
      </c>
      <c r="D1489">
        <f>VLOOKUP(A1489,收盤價!A:C,3,0)</f>
        <v>17.8</v>
      </c>
      <c r="E1489" s="163">
        <v>-0.16235294117647056</v>
      </c>
      <c r="F1489">
        <v>6.06</v>
      </c>
    </row>
    <row r="1490" spans="1:6">
      <c r="A1490">
        <v>3536</v>
      </c>
      <c r="B1490" t="s">
        <v>1141</v>
      </c>
      <c r="C1490">
        <v>6.93</v>
      </c>
      <c r="D1490">
        <f>VLOOKUP(A1490,收盤價!A:C,3,0)</f>
        <v>5.8</v>
      </c>
      <c r="E1490" s="163">
        <v>-0.16305916305916304</v>
      </c>
      <c r="F1490">
        <v>5.99</v>
      </c>
    </row>
    <row r="1491" spans="1:6">
      <c r="A1491">
        <v>3466</v>
      </c>
      <c r="B1491" t="s">
        <v>329</v>
      </c>
      <c r="C1491">
        <v>27.9</v>
      </c>
      <c r="D1491">
        <f>VLOOKUP(A1491,收盤價!A:C,3,0)</f>
        <v>23.3</v>
      </c>
      <c r="E1491" s="163">
        <v>-0.16487455197132608</v>
      </c>
      <c r="F1491">
        <v>5.93</v>
      </c>
    </row>
    <row r="1492" spans="1:6">
      <c r="A1492">
        <v>4433</v>
      </c>
      <c r="B1492" t="s">
        <v>1596</v>
      </c>
      <c r="C1492">
        <v>41.35</v>
      </c>
      <c r="D1492">
        <f>VLOOKUP(A1492,收盤價!A:C,3,0)</f>
        <v>34.5</v>
      </c>
      <c r="E1492" s="163">
        <v>-0.16565900846432893</v>
      </c>
      <c r="F1492">
        <v>5.87</v>
      </c>
    </row>
    <row r="1493" spans="1:6">
      <c r="A1493">
        <v>3570</v>
      </c>
      <c r="B1493" t="s">
        <v>1539</v>
      </c>
      <c r="C1493">
        <v>68.5</v>
      </c>
      <c r="D1493">
        <f>VLOOKUP(A1493,收盤價!A:C,3,0)</f>
        <v>57</v>
      </c>
      <c r="E1493" s="163">
        <v>-0.16788321167883211</v>
      </c>
      <c r="F1493">
        <v>5.8</v>
      </c>
    </row>
    <row r="1494" spans="1:6">
      <c r="A1494">
        <v>5514</v>
      </c>
      <c r="B1494" t="s">
        <v>1688</v>
      </c>
      <c r="C1494">
        <v>11.25</v>
      </c>
      <c r="D1494">
        <f>VLOOKUP(A1494,收盤價!A:C,3,0)</f>
        <v>9.34</v>
      </c>
      <c r="E1494" s="163">
        <v>-0.16977777777777778</v>
      </c>
      <c r="F1494">
        <v>5.74</v>
      </c>
    </row>
    <row r="1495" spans="1:6">
      <c r="A1495">
        <v>1539</v>
      </c>
      <c r="B1495" t="s">
        <v>671</v>
      </c>
      <c r="C1495">
        <v>36.299999999999997</v>
      </c>
      <c r="D1495">
        <f>VLOOKUP(A1495,收盤價!A:C,3,0)</f>
        <v>29.7</v>
      </c>
      <c r="E1495" s="163">
        <v>-0.18181818181818177</v>
      </c>
      <c r="F1495">
        <v>5.68</v>
      </c>
    </row>
    <row r="1496" spans="1:6">
      <c r="A1496">
        <v>9944</v>
      </c>
      <c r="B1496" t="s">
        <v>1429</v>
      </c>
      <c r="C1496">
        <v>30.6</v>
      </c>
      <c r="D1496">
        <f>VLOOKUP(A1496,收盤價!A:C,3,0)</f>
        <v>25</v>
      </c>
      <c r="E1496" s="163">
        <v>-0.18300653594771246</v>
      </c>
      <c r="F1496">
        <v>5.62</v>
      </c>
    </row>
    <row r="1497" spans="1:6">
      <c r="A1497">
        <v>8418</v>
      </c>
      <c r="B1497" t="s">
        <v>1828</v>
      </c>
      <c r="C1497">
        <v>18.850000000000001</v>
      </c>
      <c r="D1497">
        <f>VLOOKUP(A1497,收盤價!A:C,3,0)</f>
        <v>15.4</v>
      </c>
      <c r="E1497" s="163">
        <v>-0.18302387267904513</v>
      </c>
      <c r="F1497">
        <v>5.55</v>
      </c>
    </row>
    <row r="1498" spans="1:6">
      <c r="A1498">
        <v>3067</v>
      </c>
      <c r="B1498" t="s">
        <v>283</v>
      </c>
      <c r="C1498">
        <v>15.5</v>
      </c>
      <c r="D1498">
        <f>VLOOKUP(A1498,收盤價!A:C,3,0)</f>
        <v>12.65</v>
      </c>
      <c r="E1498" s="163">
        <v>-0.18387096774193545</v>
      </c>
      <c r="F1498">
        <v>5.49</v>
      </c>
    </row>
    <row r="1499" spans="1:6">
      <c r="A1499">
        <v>6225</v>
      </c>
      <c r="B1499" t="s">
        <v>1299</v>
      </c>
      <c r="C1499">
        <v>3.86</v>
      </c>
      <c r="D1499">
        <f>VLOOKUP(A1499,收盤價!A:C,3,0)</f>
        <v>3.15</v>
      </c>
      <c r="E1499" s="163">
        <v>-0.18393782383419688</v>
      </c>
      <c r="F1499">
        <v>5.43</v>
      </c>
    </row>
    <row r="1500" spans="1:6">
      <c r="A1500">
        <v>3089</v>
      </c>
      <c r="B1500" t="s">
        <v>287</v>
      </c>
      <c r="C1500">
        <v>22.95</v>
      </c>
      <c r="D1500">
        <f>VLOOKUP(A1500,收盤價!A:C,3,0)</f>
        <v>18.649999999999999</v>
      </c>
      <c r="E1500" s="163">
        <v>-0.187363834422658</v>
      </c>
      <c r="F1500">
        <v>5.36</v>
      </c>
    </row>
    <row r="1501" spans="1:6">
      <c r="A1501">
        <v>3056</v>
      </c>
      <c r="B1501" t="s">
        <v>1091</v>
      </c>
      <c r="C1501">
        <v>15</v>
      </c>
      <c r="D1501">
        <f>VLOOKUP(A1501,收盤價!A:C,3,0)</f>
        <v>12.15</v>
      </c>
      <c r="E1501" s="163">
        <v>-0.18999999999999997</v>
      </c>
      <c r="F1501">
        <v>5.3</v>
      </c>
    </row>
    <row r="1502" spans="1:6">
      <c r="A1502">
        <v>2429</v>
      </c>
      <c r="B1502" t="s">
        <v>882</v>
      </c>
      <c r="C1502">
        <v>14.7</v>
      </c>
      <c r="D1502">
        <f>VLOOKUP(A1502,收盤價!A:C,3,0)</f>
        <v>11.85</v>
      </c>
      <c r="E1502" s="163">
        <v>-0.19387755102040816</v>
      </c>
      <c r="F1502">
        <v>5.24</v>
      </c>
    </row>
    <row r="1503" spans="1:6">
      <c r="A1503">
        <v>4406</v>
      </c>
      <c r="B1503" t="s">
        <v>1588</v>
      </c>
      <c r="C1503">
        <v>13.15</v>
      </c>
      <c r="D1503">
        <f>VLOOKUP(A1503,收盤價!A:C,3,0)</f>
        <v>10.55</v>
      </c>
      <c r="E1503" s="163">
        <v>-0.19771863117870719</v>
      </c>
      <c r="F1503">
        <v>5.17</v>
      </c>
    </row>
    <row r="1504" spans="1:6">
      <c r="A1504">
        <v>910322</v>
      </c>
      <c r="B1504" t="s">
        <v>1374</v>
      </c>
      <c r="C1504">
        <v>28.5</v>
      </c>
      <c r="D1504">
        <f>VLOOKUP(A1504,收盤價!A:C,3,0)</f>
        <v>22.85</v>
      </c>
      <c r="E1504" s="163">
        <v>-0.19824561403508767</v>
      </c>
      <c r="F1504">
        <v>5.1100000000000003</v>
      </c>
    </row>
    <row r="1505" spans="1:6">
      <c r="A1505">
        <v>2542</v>
      </c>
      <c r="B1505" t="s">
        <v>959</v>
      </c>
      <c r="C1505">
        <v>45.8</v>
      </c>
      <c r="D1505">
        <f>VLOOKUP(A1505,收盤價!A:C,3,0)</f>
        <v>36.5</v>
      </c>
      <c r="E1505" s="163">
        <v>-0.20305676855895191</v>
      </c>
      <c r="F1505">
        <v>5.05</v>
      </c>
    </row>
    <row r="1506" spans="1:6">
      <c r="A1506">
        <v>2342</v>
      </c>
      <c r="B1506" t="s">
        <v>818</v>
      </c>
      <c r="C1506">
        <v>2.79</v>
      </c>
      <c r="D1506">
        <f>VLOOKUP(A1506,收盤價!A:C,3,0)</f>
        <v>2.2200000000000002</v>
      </c>
      <c r="E1506" s="163">
        <v>-0.20430107526881713</v>
      </c>
      <c r="F1506">
        <v>4.9800000000000004</v>
      </c>
    </row>
    <row r="1507" spans="1:6">
      <c r="A1507">
        <v>2025</v>
      </c>
      <c r="B1507" t="s">
        <v>761</v>
      </c>
      <c r="C1507">
        <v>2.54</v>
      </c>
      <c r="D1507">
        <f>VLOOKUP(A1507,收盤價!A:C,3,0)</f>
        <v>2.02</v>
      </c>
      <c r="E1507" s="163">
        <v>-0.20472440944881889</v>
      </c>
      <c r="F1507">
        <v>4.92</v>
      </c>
    </row>
    <row r="1508" spans="1:6">
      <c r="A1508">
        <v>1459</v>
      </c>
      <c r="B1508" t="s">
        <v>627</v>
      </c>
      <c r="C1508">
        <v>12.3</v>
      </c>
      <c r="D1508">
        <f>VLOOKUP(A1508,收盤價!A:C,3,0)</f>
        <v>9.6</v>
      </c>
      <c r="E1508" s="163">
        <v>-0.2195121951219513</v>
      </c>
      <c r="F1508">
        <v>4.8600000000000003</v>
      </c>
    </row>
    <row r="1509" spans="1:6">
      <c r="A1509">
        <v>5523</v>
      </c>
      <c r="B1509" t="s">
        <v>442</v>
      </c>
      <c r="C1509">
        <v>9.89</v>
      </c>
      <c r="D1509">
        <f>VLOOKUP(A1509,收盤價!A:C,3,0)</f>
        <v>7.64</v>
      </c>
      <c r="E1509" s="163">
        <v>-0.22750252780586458</v>
      </c>
      <c r="F1509">
        <v>4.79</v>
      </c>
    </row>
    <row r="1510" spans="1:6">
      <c r="A1510">
        <v>3229</v>
      </c>
      <c r="B1510" t="s">
        <v>1105</v>
      </c>
      <c r="C1510">
        <v>18.5</v>
      </c>
      <c r="D1510">
        <f>VLOOKUP(A1510,收盤價!A:C,3,0)</f>
        <v>14.05</v>
      </c>
      <c r="E1510" s="163">
        <v>-0.2405405405405405</v>
      </c>
      <c r="F1510">
        <v>4.7300000000000004</v>
      </c>
    </row>
    <row r="1511" spans="1:6">
      <c r="A1511">
        <v>2491</v>
      </c>
      <c r="B1511" t="s">
        <v>930</v>
      </c>
      <c r="C1511">
        <v>8.8000000000000007</v>
      </c>
      <c r="D1511">
        <f>VLOOKUP(A1511,收盤價!A:C,3,0)</f>
        <v>6.65</v>
      </c>
      <c r="E1511" s="163">
        <v>-0.24431818181818185</v>
      </c>
      <c r="F1511">
        <v>4.67</v>
      </c>
    </row>
    <row r="1512" spans="1:6">
      <c r="A1512">
        <v>5301</v>
      </c>
      <c r="B1512" t="s">
        <v>416</v>
      </c>
      <c r="C1512">
        <v>49.9</v>
      </c>
      <c r="D1512">
        <f>VLOOKUP(A1512,收盤價!A:C,3,0)</f>
        <v>37.700000000000003</v>
      </c>
      <c r="E1512" s="163">
        <v>-0.24448897795591173</v>
      </c>
      <c r="F1512">
        <v>4.6100000000000003</v>
      </c>
    </row>
    <row r="1513" spans="1:6">
      <c r="A1513">
        <v>5255</v>
      </c>
      <c r="B1513" t="s">
        <v>411</v>
      </c>
      <c r="C1513">
        <v>19.75</v>
      </c>
      <c r="D1513">
        <f>VLOOKUP(A1513,收盤價!A:C,3,0)</f>
        <v>14.75</v>
      </c>
      <c r="E1513" s="163">
        <v>-0.25316455696202533</v>
      </c>
      <c r="F1513">
        <v>4.54</v>
      </c>
    </row>
    <row r="1514" spans="1:6">
      <c r="A1514">
        <v>1339</v>
      </c>
      <c r="B1514" t="s">
        <v>592</v>
      </c>
      <c r="C1514">
        <v>85</v>
      </c>
      <c r="D1514">
        <f>VLOOKUP(A1514,收盤價!A:C,3,0)</f>
        <v>62.9</v>
      </c>
      <c r="E1514" s="163">
        <v>-0.26</v>
      </c>
      <c r="F1514">
        <v>4.4800000000000004</v>
      </c>
    </row>
    <row r="1515" spans="1:6">
      <c r="A1515">
        <v>8097</v>
      </c>
      <c r="B1515" t="s">
        <v>1801</v>
      </c>
      <c r="C1515">
        <v>14</v>
      </c>
      <c r="D1515">
        <f>VLOOKUP(A1515,收盤價!A:C,3,0)</f>
        <v>10.35</v>
      </c>
      <c r="E1515" s="163">
        <v>-0.26071428571428573</v>
      </c>
      <c r="F1515">
        <v>4.42</v>
      </c>
    </row>
    <row r="1516" spans="1:6">
      <c r="A1516">
        <v>3645</v>
      </c>
      <c r="B1516" t="s">
        <v>1161</v>
      </c>
      <c r="C1516">
        <v>33.450000000000003</v>
      </c>
      <c r="D1516">
        <f>VLOOKUP(A1516,收盤價!A:C,3,0)</f>
        <v>24.7</v>
      </c>
      <c r="E1516" s="163">
        <v>-0.26158445440956662</v>
      </c>
      <c r="F1516">
        <v>4.3499999999999996</v>
      </c>
    </row>
    <row r="1517" spans="1:6">
      <c r="A1517">
        <v>8092</v>
      </c>
      <c r="B1517" t="s">
        <v>1798</v>
      </c>
      <c r="C1517">
        <v>9.9</v>
      </c>
      <c r="D1517">
        <f>VLOOKUP(A1517,收盤價!A:C,3,0)</f>
        <v>7.29</v>
      </c>
      <c r="E1517" s="163">
        <v>-0.26363636363636367</v>
      </c>
      <c r="F1517">
        <v>4.29</v>
      </c>
    </row>
    <row r="1518" spans="1:6">
      <c r="A1518">
        <v>3631</v>
      </c>
      <c r="B1518" t="s">
        <v>355</v>
      </c>
      <c r="C1518">
        <v>31.6</v>
      </c>
      <c r="D1518">
        <f>VLOOKUP(A1518,收盤價!A:C,3,0)</f>
        <v>23.2</v>
      </c>
      <c r="E1518" s="163">
        <v>-0.26582278481012661</v>
      </c>
      <c r="F1518">
        <v>4.2300000000000004</v>
      </c>
    </row>
    <row r="1519" spans="1:6">
      <c r="A1519">
        <v>6294</v>
      </c>
      <c r="B1519" t="s">
        <v>1766</v>
      </c>
      <c r="C1519">
        <v>114.5</v>
      </c>
      <c r="D1519">
        <f>VLOOKUP(A1519,收盤價!A:C,3,0)</f>
        <v>84</v>
      </c>
      <c r="E1519" s="163">
        <v>-0.26637554585152839</v>
      </c>
      <c r="F1519">
        <v>4.16</v>
      </c>
    </row>
    <row r="1520" spans="1:6">
      <c r="A1520">
        <v>4113</v>
      </c>
      <c r="B1520" t="s">
        <v>363</v>
      </c>
      <c r="C1520">
        <v>13.6</v>
      </c>
      <c r="D1520">
        <f>VLOOKUP(A1520,收盤價!A:C,3,0)</f>
        <v>9.9499999999999993</v>
      </c>
      <c r="E1520" s="163">
        <v>-0.26838235294117652</v>
      </c>
      <c r="F1520">
        <v>4.0999999999999996</v>
      </c>
    </row>
    <row r="1521" spans="1:6">
      <c r="A1521">
        <v>911611</v>
      </c>
      <c r="B1521" t="s">
        <v>1383</v>
      </c>
      <c r="C1521">
        <v>0.88</v>
      </c>
      <c r="D1521">
        <f>VLOOKUP(A1521,收盤價!A:C,3,0)</f>
        <v>0.64</v>
      </c>
      <c r="E1521" s="163">
        <v>-0.27272727272727271</v>
      </c>
      <c r="F1521">
        <v>4.04</v>
      </c>
    </row>
    <row r="1522" spans="1:6">
      <c r="A1522">
        <v>3095</v>
      </c>
      <c r="B1522" t="s">
        <v>290</v>
      </c>
      <c r="C1522">
        <v>7.94</v>
      </c>
      <c r="D1522">
        <f>VLOOKUP(A1522,收盤價!A:C,3,0)</f>
        <v>5.72</v>
      </c>
      <c r="E1522" s="163">
        <v>-0.27959697732997491</v>
      </c>
      <c r="F1522">
        <v>3.97</v>
      </c>
    </row>
    <row r="1523" spans="1:6">
      <c r="A1523">
        <v>3511</v>
      </c>
      <c r="B1523" t="s">
        <v>1524</v>
      </c>
      <c r="C1523">
        <v>39.799999999999997</v>
      </c>
      <c r="D1523">
        <f>VLOOKUP(A1523,收盤價!A:C,3,0)</f>
        <v>27.45</v>
      </c>
      <c r="E1523" s="163">
        <v>-0.31030150753768843</v>
      </c>
      <c r="F1523">
        <v>3.91</v>
      </c>
    </row>
    <row r="1524" spans="1:6">
      <c r="A1524">
        <v>5321</v>
      </c>
      <c r="B1524" t="s">
        <v>1656</v>
      </c>
      <c r="C1524">
        <v>37.950000000000003</v>
      </c>
      <c r="D1524">
        <f>VLOOKUP(A1524,收盤價!A:C,3,0)</f>
        <v>22.95</v>
      </c>
      <c r="E1524" s="163">
        <v>-0.39525691699604748</v>
      </c>
      <c r="F1524">
        <v>3.85</v>
      </c>
    </row>
    <row r="1525" spans="1:6">
      <c r="A1525">
        <v>4994</v>
      </c>
      <c r="B1525" t="s">
        <v>1222</v>
      </c>
      <c r="C1525">
        <v>121.5</v>
      </c>
      <c r="D1525">
        <f>VLOOKUP(A1525,收盤價!A:C,3,0)</f>
        <v>72</v>
      </c>
      <c r="E1525" s="163">
        <v>-0.40740740740740738</v>
      </c>
      <c r="F1525">
        <v>3.79</v>
      </c>
    </row>
    <row r="1526" spans="1:6">
      <c r="A1526">
        <v>9906</v>
      </c>
      <c r="B1526" t="s">
        <v>1400</v>
      </c>
      <c r="C1526">
        <v>22.9</v>
      </c>
      <c r="D1526">
        <f>VLOOKUP(A1526,收盤價!A:C,3,0)</f>
        <v>13.3</v>
      </c>
      <c r="E1526" s="163">
        <v>-0.41921397379912656</v>
      </c>
      <c r="F1526">
        <v>3.72</v>
      </c>
    </row>
    <row r="1527" spans="1:6">
      <c r="A1527">
        <v>3489</v>
      </c>
      <c r="B1527" t="s">
        <v>332</v>
      </c>
      <c r="C1527">
        <v>17.45</v>
      </c>
      <c r="D1527">
        <f>VLOOKUP(A1527,收盤價!A:C,3,0)</f>
        <v>9.84</v>
      </c>
      <c r="E1527" s="163">
        <v>-0.43610315186246418</v>
      </c>
      <c r="F1527">
        <v>3.66</v>
      </c>
    </row>
    <row r="1528" spans="1:6">
      <c r="A1528">
        <v>913889</v>
      </c>
      <c r="B1528" t="s">
        <v>1393</v>
      </c>
      <c r="C1528">
        <v>3.36</v>
      </c>
      <c r="D1528">
        <f>VLOOKUP(A1528,收盤價!A:C,3,0)</f>
        <v>1.44</v>
      </c>
      <c r="E1528" s="163">
        <v>-0.5714285714285714</v>
      </c>
      <c r="F1528">
        <v>3.6</v>
      </c>
    </row>
    <row r="1529" spans="1:6">
      <c r="A1529">
        <v>6131</v>
      </c>
      <c r="B1529" t="s">
        <v>1265</v>
      </c>
      <c r="C1529">
        <v>23.45</v>
      </c>
      <c r="D1529">
        <f>VLOOKUP(A1529,收盤價!A:C,3,0)</f>
        <v>10</v>
      </c>
      <c r="E1529" s="163">
        <v>-0.57356076759061836</v>
      </c>
      <c r="F1529">
        <v>3.53</v>
      </c>
    </row>
    <row r="1530" spans="1:6">
      <c r="A1530">
        <v>911612</v>
      </c>
      <c r="B1530" t="s">
        <v>1384</v>
      </c>
      <c r="C1530">
        <v>0.65</v>
      </c>
      <c r="D1530">
        <f>VLOOKUP(A1530,收盤價!A:C,3,0)</f>
        <v>0.19</v>
      </c>
      <c r="E1530" s="163">
        <v>-0.70769230769230773</v>
      </c>
      <c r="F1530">
        <v>3.47</v>
      </c>
    </row>
    <row r="1531" spans="1:6">
      <c r="A1531">
        <v>4711</v>
      </c>
      <c r="B1531" t="s">
        <v>1611</v>
      </c>
      <c r="C1531">
        <v>10.8</v>
      </c>
      <c r="D1531">
        <f>VLOOKUP(A1531,收盤價!A:C,3,0)</f>
        <v>0</v>
      </c>
      <c r="E1531" s="163">
        <v>-1</v>
      </c>
      <c r="F1531">
        <v>3.41</v>
      </c>
    </row>
    <row r="1532" spans="1:6">
      <c r="A1532">
        <v>6287</v>
      </c>
      <c r="B1532" t="s">
        <v>1763</v>
      </c>
      <c r="C1532">
        <v>2.81</v>
      </c>
      <c r="D1532">
        <f>VLOOKUP(A1532,收盤價!A:C,3,0)</f>
        <v>0</v>
      </c>
      <c r="E1532" s="163">
        <v>-1</v>
      </c>
      <c r="F1532">
        <v>3.34</v>
      </c>
    </row>
    <row r="1533" spans="1:6">
      <c r="A1533">
        <v>5011</v>
      </c>
      <c r="B1533" t="s">
        <v>402</v>
      </c>
      <c r="C1533">
        <v>21.7</v>
      </c>
      <c r="D1533">
        <f>VLOOKUP(A1533,收盤價!A:C,3,0)</f>
        <v>0</v>
      </c>
      <c r="E1533" s="163">
        <v>-1</v>
      </c>
      <c r="F1533">
        <v>3.28</v>
      </c>
    </row>
    <row r="1534" spans="1:6">
      <c r="A1534">
        <v>5432</v>
      </c>
      <c r="B1534" t="s">
        <v>1671</v>
      </c>
      <c r="C1534">
        <v>15</v>
      </c>
      <c r="D1534">
        <f>VLOOKUP(A1534,收盤價!A:C,3,0)</f>
        <v>0</v>
      </c>
      <c r="E1534" s="163">
        <v>-1</v>
      </c>
      <c r="F1534">
        <v>3.22</v>
      </c>
    </row>
    <row r="1535" spans="1:6">
      <c r="A1535">
        <v>5209</v>
      </c>
      <c r="B1535" t="s">
        <v>1641</v>
      </c>
      <c r="C1535">
        <v>39.9</v>
      </c>
      <c r="D1535">
        <f>VLOOKUP(A1535,收盤價!A:C,3,0)</f>
        <v>0</v>
      </c>
      <c r="E1535" s="163">
        <v>-1</v>
      </c>
      <c r="F1535">
        <v>3.15</v>
      </c>
    </row>
    <row r="1536" spans="1:6">
      <c r="A1536">
        <v>8435</v>
      </c>
      <c r="B1536" t="s">
        <v>521</v>
      </c>
      <c r="C1536">
        <v>46.9</v>
      </c>
      <c r="D1536">
        <f>VLOOKUP(A1536,收盤價!A:C,3,0)</f>
        <v>0</v>
      </c>
      <c r="E1536" s="163">
        <v>-1</v>
      </c>
      <c r="F1536">
        <v>3.09</v>
      </c>
    </row>
    <row r="1537" spans="1:6">
      <c r="A1537">
        <v>5395</v>
      </c>
      <c r="B1537" t="s">
        <v>1669</v>
      </c>
      <c r="C1537">
        <v>31.9</v>
      </c>
      <c r="D1537">
        <f>VLOOKUP(A1537,收盤價!A:C,3,0)</f>
        <v>0</v>
      </c>
      <c r="E1537" s="163">
        <v>-1</v>
      </c>
      <c r="F1537">
        <v>3.03</v>
      </c>
    </row>
    <row r="1538" spans="1:6">
      <c r="A1538">
        <v>5878</v>
      </c>
      <c r="B1538" t="s">
        <v>446</v>
      </c>
      <c r="C1538">
        <v>41.8</v>
      </c>
      <c r="D1538">
        <f>VLOOKUP(A1538,收盤價!A:C,3,0)</f>
        <v>0</v>
      </c>
      <c r="E1538" s="163">
        <v>-1</v>
      </c>
      <c r="F1538">
        <v>2.97</v>
      </c>
    </row>
    <row r="1539" spans="1:6">
      <c r="A1539">
        <v>5516</v>
      </c>
      <c r="B1539" t="s">
        <v>1689</v>
      </c>
      <c r="C1539">
        <v>10.050000000000001</v>
      </c>
      <c r="D1539">
        <f>VLOOKUP(A1539,收盤價!A:C,3,0)</f>
        <v>0</v>
      </c>
      <c r="E1539" s="163">
        <v>-1</v>
      </c>
      <c r="F1539">
        <v>2.9</v>
      </c>
    </row>
    <row r="1540" spans="1:6">
      <c r="A1540">
        <v>3219</v>
      </c>
      <c r="B1540" t="s">
        <v>1489</v>
      </c>
      <c r="C1540">
        <v>10.6</v>
      </c>
      <c r="D1540">
        <f>VLOOKUP(A1540,收盤價!A:C,3,0)</f>
        <v>0</v>
      </c>
      <c r="E1540" s="163">
        <v>-1</v>
      </c>
      <c r="F1540">
        <v>2.84</v>
      </c>
    </row>
    <row r="1541" spans="1:6">
      <c r="A1541">
        <v>6103</v>
      </c>
      <c r="B1541" t="s">
        <v>1706</v>
      </c>
      <c r="C1541">
        <v>6.27</v>
      </c>
      <c r="D1541">
        <f>VLOOKUP(A1541,收盤價!A:C,3,0)</f>
        <v>0</v>
      </c>
      <c r="E1541" s="163">
        <v>-1</v>
      </c>
      <c r="F1541">
        <v>2.78</v>
      </c>
    </row>
    <row r="1542" spans="1:6">
      <c r="A1542">
        <v>8077</v>
      </c>
      <c r="B1542" t="s">
        <v>1864</v>
      </c>
      <c r="C1542">
        <v>54</v>
      </c>
      <c r="D1542">
        <f>VLOOKUP(A1542,收盤價!A:C,3,0)</f>
        <v>0</v>
      </c>
      <c r="E1542" s="163">
        <v>-1</v>
      </c>
      <c r="F1542">
        <v>2.71</v>
      </c>
    </row>
    <row r="1543" spans="1:6">
      <c r="A1543">
        <v>5468</v>
      </c>
      <c r="B1543" t="s">
        <v>437</v>
      </c>
      <c r="C1543">
        <v>7.54</v>
      </c>
      <c r="D1543">
        <f>VLOOKUP(A1543,收盤價!A:C,3,0)</f>
        <v>0</v>
      </c>
      <c r="E1543" s="163">
        <v>-1</v>
      </c>
      <c r="F1543">
        <v>2.65</v>
      </c>
    </row>
    <row r="1544" spans="1:6">
      <c r="A1544">
        <v>3252</v>
      </c>
      <c r="B1544" t="s">
        <v>306</v>
      </c>
      <c r="C1544">
        <v>21.7</v>
      </c>
      <c r="D1544">
        <f>VLOOKUP(A1544,收盤價!A:C,3,0)</f>
        <v>0</v>
      </c>
      <c r="E1544" s="163">
        <v>-1</v>
      </c>
      <c r="F1544">
        <v>2.59</v>
      </c>
    </row>
    <row r="1545" spans="1:6">
      <c r="A1545">
        <v>8067</v>
      </c>
      <c r="B1545" t="s">
        <v>1789</v>
      </c>
      <c r="C1545">
        <v>5.43</v>
      </c>
      <c r="D1545">
        <f>VLOOKUP(A1545,收盤價!A:C,3,0)</f>
        <v>0</v>
      </c>
      <c r="E1545" s="163">
        <v>-1</v>
      </c>
      <c r="F1545">
        <v>2.52</v>
      </c>
    </row>
    <row r="1546" spans="1:6">
      <c r="A1546">
        <v>8087</v>
      </c>
      <c r="B1546" t="s">
        <v>508</v>
      </c>
      <c r="C1546">
        <v>7.03</v>
      </c>
      <c r="D1546">
        <f>VLOOKUP(A1546,收盤價!A:C,3,0)</f>
        <v>0</v>
      </c>
      <c r="E1546" s="163">
        <v>-1</v>
      </c>
      <c r="F1546">
        <v>2.46</v>
      </c>
    </row>
    <row r="1547" spans="1:6">
      <c r="A1547">
        <v>8923</v>
      </c>
      <c r="B1547" t="s">
        <v>1837</v>
      </c>
      <c r="C1547">
        <v>16.7</v>
      </c>
      <c r="D1547">
        <f>VLOOKUP(A1547,收盤價!A:C,3,0)</f>
        <v>0</v>
      </c>
      <c r="E1547" s="163">
        <v>-1</v>
      </c>
      <c r="F1547">
        <v>2.4</v>
      </c>
    </row>
    <row r="1548" spans="1:6">
      <c r="A1548">
        <v>6199</v>
      </c>
      <c r="B1548" t="s">
        <v>1863</v>
      </c>
      <c r="C1548">
        <v>11.25</v>
      </c>
      <c r="D1548">
        <f>VLOOKUP(A1548,收盤價!A:C,3,0)</f>
        <v>0</v>
      </c>
      <c r="E1548" s="163">
        <v>-1</v>
      </c>
      <c r="F1548">
        <v>2.33</v>
      </c>
    </row>
    <row r="1549" spans="1:6">
      <c r="A1549">
        <v>3623</v>
      </c>
      <c r="B1549" t="s">
        <v>351</v>
      </c>
      <c r="C1549">
        <v>29.4</v>
      </c>
      <c r="D1549" t="e">
        <f>VLOOKUP(A1549,收盤價!A:C,3,0)</f>
        <v>#N/A</v>
      </c>
      <c r="F1549">
        <v>2.27</v>
      </c>
    </row>
    <row r="1550" spans="1:6">
      <c r="A1550">
        <v>2910</v>
      </c>
      <c r="B1550" t="s">
        <v>1037</v>
      </c>
      <c r="C1550">
        <v>21.6</v>
      </c>
      <c r="D1550" t="str">
        <f>VLOOKUP(A1550,收盤價!A:C,3,0)</f>
        <v>--</v>
      </c>
      <c r="F1550">
        <v>2.21</v>
      </c>
    </row>
    <row r="1551" spans="1:6">
      <c r="A1551">
        <v>2424</v>
      </c>
      <c r="B1551" t="s">
        <v>877</v>
      </c>
      <c r="C1551">
        <v>27.9</v>
      </c>
      <c r="D1551" t="str">
        <f>VLOOKUP(A1551,收盤價!A:C,3,0)</f>
        <v>--</v>
      </c>
      <c r="F1551">
        <v>2.15</v>
      </c>
    </row>
    <row r="1552" spans="1:6">
      <c r="A1552">
        <v>9931</v>
      </c>
      <c r="B1552" t="s">
        <v>1418</v>
      </c>
      <c r="C1552">
        <v>29</v>
      </c>
      <c r="D1552" t="str">
        <f>VLOOKUP(A1552,收盤價!A:C,3,0)</f>
        <v>--</v>
      </c>
      <c r="F1552">
        <v>2.08</v>
      </c>
    </row>
    <row r="1553" spans="1:6">
      <c r="A1553" t="s">
        <v>258</v>
      </c>
      <c r="B1553" t="s">
        <v>579</v>
      </c>
      <c r="C1553">
        <v>20</v>
      </c>
      <c r="D1553" t="str">
        <f>VLOOKUP(A1553,收盤價!A:C,3,0)</f>
        <v>--</v>
      </c>
      <c r="F1553">
        <v>2.02</v>
      </c>
    </row>
    <row r="1554" spans="1:6">
      <c r="A1554">
        <v>911626</v>
      </c>
      <c r="B1554" t="s">
        <v>1388</v>
      </c>
      <c r="C1554">
        <v>4.0999999999999996</v>
      </c>
      <c r="D1554" t="str">
        <f>VLOOKUP(A1554,收盤價!A:C,3,0)</f>
        <v>--</v>
      </c>
      <c r="F1554">
        <v>1.96</v>
      </c>
    </row>
    <row r="1555" spans="1:6">
      <c r="A1555">
        <v>2361</v>
      </c>
      <c r="B1555" t="s">
        <v>834</v>
      </c>
      <c r="C1555">
        <v>0.76</v>
      </c>
      <c r="D1555" t="e">
        <f>VLOOKUP(A1555,收盤價!A:C,3,0)</f>
        <v>#N/A</v>
      </c>
      <c r="F1555">
        <v>1.89</v>
      </c>
    </row>
    <row r="1556" spans="1:6">
      <c r="A1556">
        <v>910708</v>
      </c>
      <c r="B1556" t="s">
        <v>1378</v>
      </c>
      <c r="C1556">
        <v>282</v>
      </c>
      <c r="D1556" t="str">
        <f>VLOOKUP(A1556,收盤價!A:C,3,0)</f>
        <v>--</v>
      </c>
      <c r="F1556">
        <v>1.83</v>
      </c>
    </row>
    <row r="1557" spans="1:6">
      <c r="A1557">
        <v>2387</v>
      </c>
      <c r="B1557" t="s">
        <v>853</v>
      </c>
      <c r="C1557">
        <v>9.9600000000000009</v>
      </c>
      <c r="D1557" t="e">
        <f>VLOOKUP(A1557,收盤價!A:C,3,0)</f>
        <v>#N/A</v>
      </c>
      <c r="F1557">
        <v>1.77</v>
      </c>
    </row>
    <row r="1558" spans="1:6">
      <c r="A1558">
        <v>6248</v>
      </c>
      <c r="B1558" t="s">
        <v>483</v>
      </c>
      <c r="C1558">
        <v>25</v>
      </c>
      <c r="D1558" t="e">
        <f>VLOOKUP(A1558,收盤價!A:C,3,0)</f>
        <v>#N/A</v>
      </c>
      <c r="F1558">
        <v>1.7</v>
      </c>
    </row>
    <row r="1559" spans="1:6">
      <c r="A1559">
        <v>3141</v>
      </c>
      <c r="B1559" t="s">
        <v>292</v>
      </c>
      <c r="C1559">
        <v>15.55</v>
      </c>
      <c r="D1559" t="e">
        <f>VLOOKUP(A1559,收盤價!A:C,3,0)</f>
        <v>#N/A</v>
      </c>
      <c r="F1559">
        <v>1.64</v>
      </c>
    </row>
    <row r="1560" spans="1:6">
      <c r="A1560">
        <v>2017</v>
      </c>
      <c r="B1560" t="s">
        <v>756</v>
      </c>
      <c r="C1560">
        <v>4.88</v>
      </c>
      <c r="D1560" t="e">
        <f>VLOOKUP(A1560,收盤價!A:C,3,0)</f>
        <v>#N/A</v>
      </c>
      <c r="F1560">
        <v>1.58</v>
      </c>
    </row>
    <row r="1561" spans="1:6">
      <c r="A1561">
        <v>2348</v>
      </c>
      <c r="B1561" t="s">
        <v>822</v>
      </c>
      <c r="C1561">
        <v>0</v>
      </c>
      <c r="F1561">
        <v>1.51</v>
      </c>
    </row>
    <row r="1562" spans="1:6">
      <c r="A1562">
        <v>2718</v>
      </c>
      <c r="B1562" t="s">
        <v>280</v>
      </c>
      <c r="C1562">
        <v>0</v>
      </c>
      <c r="F1562">
        <v>1.45</v>
      </c>
    </row>
    <row r="1563" spans="1:6">
      <c r="A1563">
        <v>2833</v>
      </c>
      <c r="B1563" t="s">
        <v>1854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1474</v>
      </c>
      <c r="C1564">
        <v>0</v>
      </c>
      <c r="F1564">
        <v>1.32</v>
      </c>
    </row>
    <row r="1565" spans="1:6">
      <c r="A1565">
        <v>3465</v>
      </c>
      <c r="B1565" t="s">
        <v>1519</v>
      </c>
      <c r="C1565">
        <v>0</v>
      </c>
      <c r="F1565">
        <v>1.26</v>
      </c>
    </row>
    <row r="1566" spans="1:6">
      <c r="A1566">
        <v>3562</v>
      </c>
      <c r="B1566" t="s">
        <v>346</v>
      </c>
      <c r="C1566">
        <v>0</v>
      </c>
      <c r="F1566">
        <v>1.2</v>
      </c>
    </row>
    <row r="1567" spans="1:6">
      <c r="A1567">
        <v>3629</v>
      </c>
      <c r="B1567" t="s">
        <v>1546</v>
      </c>
      <c r="C1567">
        <v>0</v>
      </c>
      <c r="F1567">
        <v>1.1399999999999999</v>
      </c>
    </row>
    <row r="1568" spans="1:6">
      <c r="A1568">
        <v>4304</v>
      </c>
      <c r="B1568" t="s">
        <v>376</v>
      </c>
      <c r="C1568">
        <v>0</v>
      </c>
      <c r="F1568">
        <v>1.07</v>
      </c>
    </row>
    <row r="1569" spans="1:6">
      <c r="A1569">
        <v>4413</v>
      </c>
      <c r="B1569" t="s">
        <v>1589</v>
      </c>
      <c r="C1569">
        <v>0</v>
      </c>
      <c r="F1569">
        <v>1.01</v>
      </c>
    </row>
    <row r="1570" spans="1:6">
      <c r="A1570">
        <v>5205</v>
      </c>
      <c r="B1570" t="s">
        <v>1640</v>
      </c>
      <c r="C1570">
        <v>0</v>
      </c>
      <c r="F1570">
        <v>0.95</v>
      </c>
    </row>
    <row r="1571" spans="1:6">
      <c r="A1571">
        <v>5348</v>
      </c>
      <c r="B1571" t="s">
        <v>1660</v>
      </c>
      <c r="C1571">
        <v>0</v>
      </c>
      <c r="F1571">
        <v>0.88</v>
      </c>
    </row>
    <row r="1572" spans="1:6">
      <c r="A1572">
        <v>5364</v>
      </c>
      <c r="B1572" t="s">
        <v>425</v>
      </c>
      <c r="C1572">
        <v>0</v>
      </c>
      <c r="F1572">
        <v>0.82</v>
      </c>
    </row>
    <row r="1573" spans="1:6">
      <c r="A1573">
        <v>5455</v>
      </c>
      <c r="B1573" t="s">
        <v>434</v>
      </c>
      <c r="C1573">
        <v>0</v>
      </c>
      <c r="F1573">
        <v>0.76</v>
      </c>
    </row>
    <row r="1574" spans="1:6">
      <c r="A1574">
        <v>6144</v>
      </c>
      <c r="B1574" t="s">
        <v>1725</v>
      </c>
      <c r="C1574">
        <v>0</v>
      </c>
      <c r="F1574">
        <v>0.69</v>
      </c>
    </row>
    <row r="1575" spans="1:6">
      <c r="A1575">
        <v>6240</v>
      </c>
      <c r="B1575" t="s">
        <v>1753</v>
      </c>
      <c r="C1575">
        <v>0</v>
      </c>
      <c r="F1575">
        <v>0.63</v>
      </c>
    </row>
    <row r="1576" spans="1:6">
      <c r="A1576">
        <v>6242</v>
      </c>
      <c r="B1576" t="s">
        <v>1754</v>
      </c>
      <c r="C1576">
        <v>0</v>
      </c>
      <c r="F1576">
        <v>0.56999999999999995</v>
      </c>
    </row>
    <row r="1577" spans="1:6">
      <c r="A1577">
        <v>6250</v>
      </c>
      <c r="B1577" t="s">
        <v>484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491</v>
      </c>
      <c r="C1578">
        <v>0</v>
      </c>
      <c r="F1578">
        <v>0.44</v>
      </c>
    </row>
    <row r="1579" spans="1:6">
      <c r="A1579">
        <v>8068</v>
      </c>
      <c r="B1579" t="s">
        <v>502</v>
      </c>
      <c r="C1579">
        <v>0</v>
      </c>
      <c r="F1579">
        <v>0.38</v>
      </c>
    </row>
    <row r="1580" spans="1:6">
      <c r="A1580">
        <v>8917</v>
      </c>
      <c r="B1580" t="s">
        <v>526</v>
      </c>
      <c r="C1580">
        <v>0</v>
      </c>
      <c r="F1580">
        <v>0.32</v>
      </c>
    </row>
    <row r="1581" spans="1:6">
      <c r="A1581">
        <v>8921</v>
      </c>
      <c r="B1581" t="s">
        <v>1836</v>
      </c>
      <c r="C1581">
        <v>0</v>
      </c>
      <c r="F1581">
        <v>0.25</v>
      </c>
    </row>
    <row r="1582" spans="1:6">
      <c r="A1582">
        <v>8925</v>
      </c>
      <c r="B1582" t="s">
        <v>1839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1382</v>
      </c>
      <c r="C1583">
        <v>0</v>
      </c>
      <c r="F1583">
        <v>0.13</v>
      </c>
    </row>
    <row r="1584" spans="1:6">
      <c r="A1584">
        <v>911622</v>
      </c>
      <c r="B1584" t="s">
        <v>1387</v>
      </c>
      <c r="C1584">
        <v>0</v>
      </c>
      <c r="F1584">
        <v>0.06</v>
      </c>
    </row>
    <row r="1585" spans="1:6">
      <c r="A1585" t="s">
        <v>1855</v>
      </c>
      <c r="B1585" t="s">
        <v>1856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1843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3" sqref="A3"/>
    </sheetView>
  </sheetViews>
  <sheetFormatPr defaultRowHeight="16.5"/>
  <cols>
    <col min="1" max="1" width="15.75" style="184" customWidth="1"/>
    <col min="2" max="2" width="11.5" bestFit="1" customWidth="1"/>
    <col min="3" max="3" width="18.25" bestFit="1" customWidth="1"/>
    <col min="4" max="7" width="16.375" bestFit="1" customWidth="1"/>
    <col min="8" max="8" width="13.875" style="197" bestFit="1" customWidth="1"/>
    <col min="9" max="9" width="4.625" hidden="1" customWidth="1"/>
    <col min="10" max="10" width="13.875" style="190" bestFit="1" customWidth="1"/>
    <col min="11" max="11" width="4.625" hidden="1" customWidth="1"/>
    <col min="12" max="12" width="8.125" style="62" customWidth="1"/>
    <col min="13" max="13" width="7.5" style="287" customWidth="1"/>
    <col min="14" max="14" width="7.5" style="284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2" customFormat="1" ht="59.25" customHeight="1">
      <c r="A1" s="47" t="s">
        <v>1909</v>
      </c>
      <c r="B1" s="47" t="s">
        <v>1902</v>
      </c>
      <c r="C1" s="256" t="s">
        <v>1920</v>
      </c>
      <c r="D1" s="257" t="s">
        <v>1906</v>
      </c>
      <c r="E1" s="257" t="s">
        <v>1905</v>
      </c>
      <c r="F1" s="258" t="s">
        <v>1903</v>
      </c>
      <c r="G1" s="258" t="s">
        <v>1904</v>
      </c>
      <c r="H1" s="259" t="s">
        <v>1907</v>
      </c>
      <c r="I1" s="257"/>
      <c r="J1" s="260" t="s">
        <v>1908</v>
      </c>
      <c r="K1" s="261"/>
      <c r="L1" s="263"/>
      <c r="M1" s="286"/>
      <c r="N1" s="283"/>
    </row>
    <row r="2" spans="1:29">
      <c r="A2" s="184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197">
        <v>0.52</v>
      </c>
      <c r="I2">
        <f>RANK(0.52,H:H,0)</f>
        <v>3</v>
      </c>
      <c r="J2" s="190">
        <v>0.21</v>
      </c>
      <c r="K2">
        <f>RANK(0.21,J:J,0)</f>
        <v>2</v>
      </c>
      <c r="L2" s="62">
        <f>RANK(303.8,M:M,0)</f>
        <v>1</v>
      </c>
      <c r="M2" s="287">
        <v>303.8</v>
      </c>
      <c r="N2" s="284">
        <f>VLOOKUP(6111,季財報!A:N,8,0)</f>
        <v>4</v>
      </c>
    </row>
    <row r="3" spans="1:29">
      <c r="A3" s="184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197">
        <v>0.18</v>
      </c>
      <c r="I3">
        <f>RANK(0.18,H:H,0)</f>
        <v>11</v>
      </c>
      <c r="J3" s="190">
        <v>0.22</v>
      </c>
      <c r="K3">
        <f>RANK(0.22,J:J,0)</f>
        <v>1</v>
      </c>
      <c r="L3" s="62">
        <f>RANK(126.58,M:M,0)</f>
        <v>2</v>
      </c>
      <c r="M3" s="287">
        <v>126.58</v>
      </c>
      <c r="N3" s="284">
        <f>VLOOKUP(4413,季財報!A:N,8,0)</f>
        <v>4</v>
      </c>
    </row>
    <row r="4" spans="1:29">
      <c r="A4" s="184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197">
        <v>0.18</v>
      </c>
      <c r="I4">
        <f>RANK(0.18,H:H,0)</f>
        <v>11</v>
      </c>
      <c r="J4" s="190">
        <v>0.15</v>
      </c>
      <c r="K4">
        <f>RANK(0.15,J:J,0)</f>
        <v>3</v>
      </c>
      <c r="L4" s="62">
        <f>RANK(108.5,M:M,0)</f>
        <v>3</v>
      </c>
      <c r="M4" s="287">
        <v>94.94</v>
      </c>
      <c r="N4" s="284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4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197">
        <v>0.18</v>
      </c>
      <c r="I5">
        <f>RANK(0.18,H:H,0)</f>
        <v>11</v>
      </c>
      <c r="J5" s="190">
        <v>0.13</v>
      </c>
      <c r="K5">
        <f>RANK(0.13,J:J,0)</f>
        <v>5</v>
      </c>
      <c r="L5" s="62">
        <f>RANK(94.94,M:M,0)</f>
        <v>4</v>
      </c>
      <c r="M5" s="287">
        <v>72.33</v>
      </c>
      <c r="N5" s="284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4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197">
        <v>0.15</v>
      </c>
      <c r="I6">
        <f>RANK(0.15,H:H,0)</f>
        <v>17</v>
      </c>
      <c r="J6" s="190">
        <v>0.14000000000000001</v>
      </c>
      <c r="K6">
        <f>RANK(0.14,J:J,0)</f>
        <v>4</v>
      </c>
      <c r="L6" s="62">
        <f>RANK(72.33,M:M,0)</f>
        <v>5</v>
      </c>
      <c r="M6" s="287">
        <v>54.25</v>
      </c>
      <c r="N6" s="284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4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197">
        <v>0.18</v>
      </c>
      <c r="I7">
        <f>RANK(0.18,H:H,0)</f>
        <v>11</v>
      </c>
      <c r="J7" s="190">
        <v>0.11</v>
      </c>
      <c r="K7">
        <f>RANK(0.11,J:J,0)</f>
        <v>15</v>
      </c>
      <c r="L7" s="62">
        <f>RANK(58.42,M:M,0)</f>
        <v>6</v>
      </c>
      <c r="M7" s="287">
        <v>54.25</v>
      </c>
      <c r="N7" s="284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4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197">
        <v>0.13</v>
      </c>
      <c r="I8">
        <f>RANK(0.13,H:H,0)</f>
        <v>23</v>
      </c>
      <c r="J8" s="190">
        <v>0.13</v>
      </c>
      <c r="K8">
        <f>RANK(0.13,J:J,0)</f>
        <v>5</v>
      </c>
      <c r="L8" s="62">
        <f>RANK(54.25,M:M,0)</f>
        <v>7</v>
      </c>
      <c r="M8" s="287">
        <v>58.42</v>
      </c>
      <c r="N8" s="284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4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197">
        <v>0.13</v>
      </c>
      <c r="I9">
        <f>RANK(0.13,H:H,0)</f>
        <v>23</v>
      </c>
      <c r="J9" s="190">
        <v>0.13</v>
      </c>
      <c r="K9">
        <f>RANK(0.13,J:J,0)</f>
        <v>5</v>
      </c>
      <c r="L9" s="62">
        <f>RANK(54.25,M:M,0)</f>
        <v>7</v>
      </c>
      <c r="M9" s="287">
        <v>47.47</v>
      </c>
      <c r="N9" s="284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4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197">
        <v>0.14000000000000001</v>
      </c>
      <c r="I10">
        <f>RANK(0.14,H:H,0)</f>
        <v>20</v>
      </c>
      <c r="J10" s="190">
        <v>0.12</v>
      </c>
      <c r="K10">
        <f>RANK(0.12,J:J,0)</f>
        <v>9</v>
      </c>
      <c r="L10" s="62">
        <f>RANK(52.38,M:M,0)</f>
        <v>9</v>
      </c>
      <c r="M10" s="287">
        <v>47.47</v>
      </c>
      <c r="N10" s="284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4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197">
        <v>0.13</v>
      </c>
      <c r="I11">
        <f>RANK(0.13,H:H,0)</f>
        <v>23</v>
      </c>
      <c r="J11" s="190">
        <v>0.12</v>
      </c>
      <c r="K11">
        <f>RANK(0.12,J:J,0)</f>
        <v>9</v>
      </c>
      <c r="L11" s="62">
        <f>RANK(47.47,M:M,0)</f>
        <v>10</v>
      </c>
      <c r="M11" s="287">
        <v>39.97</v>
      </c>
      <c r="N11" s="284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4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197">
        <v>0.13</v>
      </c>
      <c r="I12">
        <f>RANK(0.13,H:H,0)</f>
        <v>23</v>
      </c>
      <c r="J12" s="190">
        <v>0.12</v>
      </c>
      <c r="K12">
        <f>RANK(0.12,J:J,0)</f>
        <v>9</v>
      </c>
      <c r="L12" s="62">
        <f>RANK(47.47,M:M,0)</f>
        <v>10</v>
      </c>
      <c r="M12" s="287">
        <v>37.049999999999997</v>
      </c>
      <c r="N12" s="284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4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197">
        <v>0.13</v>
      </c>
      <c r="I13">
        <f>RANK(0.13,H:H,0)</f>
        <v>23</v>
      </c>
      <c r="J13" s="190">
        <v>0.11</v>
      </c>
      <c r="K13">
        <f>RANK(0.11,J:J,0)</f>
        <v>15</v>
      </c>
      <c r="L13" s="62">
        <f>RANK(39.97,M:M,0)</f>
        <v>12</v>
      </c>
      <c r="M13" s="287">
        <v>32.32</v>
      </c>
      <c r="N13" s="284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4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197">
        <v>0.12</v>
      </c>
      <c r="I14">
        <f>RANK(0.12,H:H,0)</f>
        <v>32</v>
      </c>
      <c r="J14" s="190">
        <v>0.12</v>
      </c>
      <c r="K14">
        <f>RANK(0.12,J:J,0)</f>
        <v>9</v>
      </c>
      <c r="L14" s="62">
        <f>RANK(37.05,M:M,0)</f>
        <v>13</v>
      </c>
      <c r="M14" s="287">
        <v>32.32</v>
      </c>
      <c r="N14" s="284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4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197">
        <v>0.15</v>
      </c>
      <c r="I15">
        <f>RANK(0.15,H:H,0)</f>
        <v>17</v>
      </c>
      <c r="J15" s="190">
        <v>0.09</v>
      </c>
      <c r="K15">
        <f>RANK(0.09,J:J,0)</f>
        <v>29</v>
      </c>
      <c r="L15" s="62">
        <f>RANK(33.02,M:M,0)</f>
        <v>14</v>
      </c>
      <c r="M15" s="287">
        <v>33.020000000000003</v>
      </c>
      <c r="N15" s="284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4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197">
        <v>0.12</v>
      </c>
      <c r="I16">
        <f>RANK(0.12,H:H,0)</f>
        <v>32</v>
      </c>
      <c r="J16" s="190">
        <v>0.11</v>
      </c>
      <c r="K16">
        <f>RANK(0.11,J:J,0)</f>
        <v>15</v>
      </c>
      <c r="L16" s="62">
        <f>RANK(32.32,M:M,0)</f>
        <v>15</v>
      </c>
      <c r="M16" s="287">
        <v>29.78</v>
      </c>
      <c r="N16" s="284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1934</v>
      </c>
    </row>
    <row r="17" spans="1:35">
      <c r="A17" s="184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197">
        <v>0.12</v>
      </c>
      <c r="I17">
        <f>RANK(0.12,H:H,0)</f>
        <v>32</v>
      </c>
      <c r="J17" s="190">
        <v>0.11</v>
      </c>
      <c r="K17">
        <f>RANK(0.11,J:J,0)</f>
        <v>15</v>
      </c>
      <c r="L17" s="62">
        <f>RANK(32.32,M:M,0)</f>
        <v>15</v>
      </c>
      <c r="M17" s="287">
        <v>28.66</v>
      </c>
      <c r="N17" s="284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1935</v>
      </c>
      <c r="AC17" t="s">
        <v>1936</v>
      </c>
    </row>
    <row r="18" spans="1:35">
      <c r="A18" s="184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197">
        <v>0.1</v>
      </c>
      <c r="I18">
        <f>RANK(0.1,H:H,0)</f>
        <v>46</v>
      </c>
      <c r="J18" s="190">
        <v>0.13</v>
      </c>
      <c r="K18">
        <f>RANK(0.13,J:J,0)</f>
        <v>5</v>
      </c>
      <c r="L18" s="62">
        <f>RANK(29.78,M:M,0)</f>
        <v>17</v>
      </c>
      <c r="M18" s="287">
        <v>28.66</v>
      </c>
      <c r="N18" s="284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4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197">
        <v>0.12</v>
      </c>
      <c r="I19">
        <f>RANK(0.12,H:H,0)</f>
        <v>32</v>
      </c>
      <c r="J19" s="190">
        <v>0.1</v>
      </c>
      <c r="K19">
        <f>RANK(0.1,J:J,0)</f>
        <v>21</v>
      </c>
      <c r="L19" s="62">
        <f>RANK(28.66,M:M,0)</f>
        <v>18</v>
      </c>
      <c r="M19" s="287">
        <v>28.66</v>
      </c>
      <c r="N19" s="284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4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197">
        <v>0.11</v>
      </c>
      <c r="I20">
        <f>RANK(0.11,H:H,0)</f>
        <v>38</v>
      </c>
      <c r="J20" s="190">
        <v>0.11</v>
      </c>
      <c r="K20">
        <f>RANK(0.11,J:J,0)</f>
        <v>15</v>
      </c>
      <c r="L20" s="62">
        <f>RANK(28.66,M:M,0)</f>
        <v>18</v>
      </c>
      <c r="M20" s="287">
        <v>25.75</v>
      </c>
      <c r="N20" s="284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4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197">
        <v>0.16</v>
      </c>
      <c r="I21">
        <f>RANK(0.16,H:H,0)</f>
        <v>16</v>
      </c>
      <c r="J21" s="190">
        <v>0.08</v>
      </c>
      <c r="K21">
        <f>RANK(0.08,J:J,0)</f>
        <v>37</v>
      </c>
      <c r="L21" s="62">
        <f>RANK(28.66,M:M,0)</f>
        <v>18</v>
      </c>
      <c r="M21" s="287">
        <v>25.75</v>
      </c>
      <c r="N21" s="284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4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197">
        <v>0.11</v>
      </c>
      <c r="I22">
        <f>RANK(0.11,H:H,0)</f>
        <v>38</v>
      </c>
      <c r="J22" s="190">
        <v>0.1</v>
      </c>
      <c r="K22">
        <f>RANK(0.1,J:J,0)</f>
        <v>21</v>
      </c>
      <c r="L22" s="62">
        <f>RANK(25.75,M:M,0)</f>
        <v>21</v>
      </c>
      <c r="M22" s="287">
        <v>24.9</v>
      </c>
      <c r="N22" s="284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4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197">
        <v>0.11</v>
      </c>
      <c r="I23">
        <f>RANK(0.11,H:H,0)</f>
        <v>38</v>
      </c>
      <c r="J23" s="190">
        <v>0.1</v>
      </c>
      <c r="K23">
        <f>RANK(0.1,J:J,0)</f>
        <v>21</v>
      </c>
      <c r="L23" s="62">
        <f>RANK(25.75,M:M,0)</f>
        <v>21</v>
      </c>
      <c r="M23" s="287">
        <v>24.9</v>
      </c>
      <c r="N23" s="284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4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197">
        <v>0.13</v>
      </c>
      <c r="I24">
        <f>RANK(0.13,H:H,0)</f>
        <v>23</v>
      </c>
      <c r="J24" s="190">
        <v>0.08</v>
      </c>
      <c r="K24">
        <f>RANK(0.08,J:J,0)</f>
        <v>37</v>
      </c>
      <c r="L24" s="62">
        <f>RANK(25.32,M:M,0)</f>
        <v>23</v>
      </c>
      <c r="M24" s="287">
        <v>22.67</v>
      </c>
      <c r="N24" s="284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4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197">
        <v>0.1</v>
      </c>
      <c r="I25">
        <f>RANK(0.1,H:H,0)</f>
        <v>46</v>
      </c>
      <c r="J25" s="190">
        <v>0.11</v>
      </c>
      <c r="K25">
        <f>RANK(0.11,J:J,0)</f>
        <v>15</v>
      </c>
      <c r="L25" s="62">
        <f>RANK(24.9,M:M,0)</f>
        <v>24</v>
      </c>
      <c r="M25" s="287">
        <v>23.02</v>
      </c>
      <c r="N25" s="284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4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197">
        <v>0.49</v>
      </c>
      <c r="I26">
        <f>RANK(0.49,H:H,0)</f>
        <v>4</v>
      </c>
      <c r="J26" s="190">
        <v>7.0000000000000007E-2</v>
      </c>
      <c r="K26">
        <f>RANK(0.07,J:J,0)</f>
        <v>57</v>
      </c>
      <c r="L26" s="62">
        <f>RANK(24.9,M:M,0)</f>
        <v>24</v>
      </c>
      <c r="M26" s="287">
        <v>22.67</v>
      </c>
      <c r="N26" s="284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4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197">
        <v>0.27</v>
      </c>
      <c r="I27">
        <f>RANK(0.27,H:H,0)</f>
        <v>9</v>
      </c>
      <c r="J27" s="190">
        <v>7.0000000000000007E-2</v>
      </c>
      <c r="K27">
        <f>RANK(0.07,J:J,0)</f>
        <v>57</v>
      </c>
      <c r="L27" s="62">
        <f>RANK(23.02,M:M,0)</f>
        <v>26</v>
      </c>
      <c r="M27" s="287">
        <v>22.67</v>
      </c>
      <c r="N27" s="284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4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197">
        <v>0.1</v>
      </c>
      <c r="I28">
        <f>RANK(0.1,H:H,0)</f>
        <v>46</v>
      </c>
      <c r="J28" s="190">
        <v>0.1</v>
      </c>
      <c r="K28">
        <f>RANK(0.1,J:J,0)</f>
        <v>21</v>
      </c>
      <c r="L28" s="62">
        <f>RANK(22.67,M:M,0)</f>
        <v>27</v>
      </c>
      <c r="M28" s="287">
        <v>21.1</v>
      </c>
      <c r="N28" s="284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1938</v>
      </c>
      <c r="AF28" t="s">
        <v>1939</v>
      </c>
      <c r="AH28" t="s">
        <v>1940</v>
      </c>
    </row>
    <row r="29" spans="1:35">
      <c r="A29" s="184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197">
        <v>0.1</v>
      </c>
      <c r="I29">
        <f>RANK(0.1,H:H,0)</f>
        <v>46</v>
      </c>
      <c r="J29" s="190">
        <v>0.1</v>
      </c>
      <c r="K29">
        <f>RANK(0.1,J:J,0)</f>
        <v>21</v>
      </c>
      <c r="L29" s="62">
        <f>RANK(22.67,M:M,0)</f>
        <v>27</v>
      </c>
      <c r="M29" s="287">
        <v>22.01</v>
      </c>
      <c r="N29" s="284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1865</v>
      </c>
      <c r="AC29" t="s">
        <v>1937</v>
      </c>
      <c r="AE29" t="s">
        <v>1865</v>
      </c>
      <c r="AF29" t="s">
        <v>1937</v>
      </c>
      <c r="AG29" t="s">
        <v>1865</v>
      </c>
      <c r="AH29" t="s">
        <v>1937</v>
      </c>
      <c r="AI29" t="s">
        <v>1865</v>
      </c>
    </row>
    <row r="30" spans="1:35">
      <c r="A30" s="184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197">
        <v>0.11</v>
      </c>
      <c r="I30">
        <f>RANK(0.11,H:H,0)</f>
        <v>38</v>
      </c>
      <c r="J30" s="190">
        <v>0.09</v>
      </c>
      <c r="K30">
        <f>RANK(0.09,J:J,0)</f>
        <v>29</v>
      </c>
      <c r="L30" s="62">
        <f>RANK(22.67,M:M,0)</f>
        <v>27</v>
      </c>
      <c r="M30" s="287">
        <v>20.25</v>
      </c>
      <c r="N30" s="284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4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197">
        <v>0.1</v>
      </c>
      <c r="I31">
        <f>RANK(0.1,H:H,0)</f>
        <v>46</v>
      </c>
      <c r="J31" s="190">
        <v>0.1</v>
      </c>
      <c r="K31">
        <f>RANK(0.1,J:J,0)</f>
        <v>21</v>
      </c>
      <c r="L31" s="62">
        <f>RANK(22.67,M:M,0)</f>
        <v>27</v>
      </c>
      <c r="M31" s="287">
        <v>18.989999999999998</v>
      </c>
      <c r="N31" s="284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4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197">
        <v>0.12</v>
      </c>
      <c r="I32">
        <f>RANK(0.12,H:H,0)</f>
        <v>32</v>
      </c>
      <c r="J32" s="190">
        <v>0.08</v>
      </c>
      <c r="K32">
        <f>RANK(0.08,J:J,0)</f>
        <v>37</v>
      </c>
      <c r="L32" s="62">
        <f>RANK(22.01,M:M,0)</f>
        <v>31</v>
      </c>
      <c r="M32" s="287">
        <v>1.1399999999999999</v>
      </c>
      <c r="N32" s="284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4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197">
        <v>0.09</v>
      </c>
      <c r="I33">
        <f>RANK(0.09,H:H,0)</f>
        <v>63</v>
      </c>
      <c r="J33" s="190">
        <v>0.12</v>
      </c>
      <c r="K33">
        <f>RANK(0.12,J:J,0)</f>
        <v>9</v>
      </c>
      <c r="L33" s="62">
        <f>RANK(21.1,M:M,0)</f>
        <v>32</v>
      </c>
      <c r="M33" s="287">
        <v>18.079999999999998</v>
      </c>
      <c r="N33" s="284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4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197">
        <v>0.1</v>
      </c>
      <c r="I34">
        <f>RANK(0.1,H:H,0)</f>
        <v>46</v>
      </c>
      <c r="J34" s="190">
        <v>0.09</v>
      </c>
      <c r="K34">
        <f>RANK(0.09,J:J,0)</f>
        <v>29</v>
      </c>
      <c r="L34" s="62">
        <f>RANK(20.25,M:M,0)</f>
        <v>33</v>
      </c>
      <c r="M34" s="287">
        <v>18.079999999999998</v>
      </c>
      <c r="N34" s="284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4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197">
        <v>0.1</v>
      </c>
      <c r="I35">
        <f>RANK(0.1,H:H,0)</f>
        <v>46</v>
      </c>
      <c r="J35" s="190">
        <v>0.09</v>
      </c>
      <c r="K35">
        <f>RANK(0.09,J:J,0)</f>
        <v>29</v>
      </c>
      <c r="L35" s="62">
        <f>RANK(20.25,M:M,0)</f>
        <v>33</v>
      </c>
      <c r="M35" s="287">
        <v>18.3</v>
      </c>
      <c r="N35" s="284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4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197">
        <v>0.14000000000000001</v>
      </c>
      <c r="I36">
        <f>RANK(0.14,H:H,0)</f>
        <v>20</v>
      </c>
      <c r="J36" s="190">
        <v>7.0000000000000007E-2</v>
      </c>
      <c r="K36">
        <f>RANK(0.07,J:J,0)</f>
        <v>57</v>
      </c>
      <c r="L36" s="62">
        <f>RANK(19.73,M:M,0)</f>
        <v>35</v>
      </c>
      <c r="M36" s="287">
        <v>18.3</v>
      </c>
      <c r="N36" s="284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4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197">
        <v>0.13</v>
      </c>
      <c r="I37">
        <f>RANK(0.13,H:H,0)</f>
        <v>23</v>
      </c>
      <c r="J37" s="190">
        <v>7.0000000000000007E-2</v>
      </c>
      <c r="K37">
        <f>RANK(0.07,J:J,0)</f>
        <v>57</v>
      </c>
      <c r="L37" s="62">
        <f>RANK(18.99,M:M,0)</f>
        <v>36</v>
      </c>
      <c r="M37" s="287">
        <v>18.3</v>
      </c>
      <c r="N37" s="284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4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197">
        <v>0.1</v>
      </c>
      <c r="I38">
        <f>RANK(0.1,H:H,0)</f>
        <v>46</v>
      </c>
      <c r="J38" s="190">
        <v>0.08</v>
      </c>
      <c r="K38">
        <f>RANK(0.08,J:J,0)</f>
        <v>37</v>
      </c>
      <c r="L38" s="62">
        <f>RANK(18.3,M:M,0)</f>
        <v>37</v>
      </c>
      <c r="M38" s="287">
        <v>17.07</v>
      </c>
      <c r="N38" s="284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4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197">
        <v>0.1</v>
      </c>
      <c r="I39">
        <f>RANK(0.1,H:H,0)</f>
        <v>46</v>
      </c>
      <c r="J39" s="190">
        <v>0.08</v>
      </c>
      <c r="K39">
        <f>RANK(0.08,J:J,0)</f>
        <v>37</v>
      </c>
      <c r="L39" s="62">
        <f>RANK(18.3,M:M,0)</f>
        <v>37</v>
      </c>
      <c r="M39" s="287">
        <v>3.67</v>
      </c>
      <c r="N39" s="284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4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197">
        <v>0.1</v>
      </c>
      <c r="I40">
        <f>RANK(0.1,H:H,0)</f>
        <v>46</v>
      </c>
      <c r="J40" s="190">
        <v>0.08</v>
      </c>
      <c r="K40">
        <f>RANK(0.08,J:J,0)</f>
        <v>37</v>
      </c>
      <c r="L40" s="62">
        <f>RANK(18.3,M:M,0)</f>
        <v>37</v>
      </c>
      <c r="M40" s="287">
        <v>16.510000000000002</v>
      </c>
      <c r="N40" s="284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4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197">
        <v>0.09</v>
      </c>
      <c r="I41">
        <f>RANK(0.09,H:H,0)</f>
        <v>63</v>
      </c>
      <c r="J41" s="190">
        <v>0.1</v>
      </c>
      <c r="K41">
        <f>RANK(0.1,J:J,0)</f>
        <v>21</v>
      </c>
      <c r="L41" s="62">
        <f>RANK(18.08,M:M,0)</f>
        <v>40</v>
      </c>
      <c r="M41" s="287">
        <v>16.510000000000002</v>
      </c>
      <c r="N41" s="284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4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197">
        <v>0.09</v>
      </c>
      <c r="I42">
        <f>RANK(0.09,H:H,0)</f>
        <v>63</v>
      </c>
      <c r="J42" s="190">
        <v>0.1</v>
      </c>
      <c r="K42">
        <f>RANK(0.1,J:J,0)</f>
        <v>21</v>
      </c>
      <c r="L42" s="62">
        <f>RANK(18.08,M:M,0)</f>
        <v>40</v>
      </c>
      <c r="M42" s="287">
        <v>16.16</v>
      </c>
      <c r="N42" s="284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4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197">
        <v>0.08</v>
      </c>
      <c r="I43">
        <f>RANK(0.08,H:H,0)</f>
        <v>80</v>
      </c>
      <c r="J43" s="190">
        <v>0.12</v>
      </c>
      <c r="K43">
        <f>RANK(0.12,J:J,0)</f>
        <v>9</v>
      </c>
      <c r="L43" s="62">
        <f>RANK(17.07,M:M,0)</f>
        <v>42</v>
      </c>
      <c r="M43" s="287">
        <v>15.19</v>
      </c>
      <c r="N43" s="284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4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197">
        <v>0.09</v>
      </c>
      <c r="I44">
        <f>RANK(0.09,H:H,0)</f>
        <v>63</v>
      </c>
      <c r="J44" s="190">
        <v>0.09</v>
      </c>
      <c r="K44">
        <f>RANK(0.09,J:J,0)</f>
        <v>29</v>
      </c>
      <c r="L44" s="62">
        <f>RANK(16.51,M:M,0)</f>
        <v>43</v>
      </c>
      <c r="M44" s="287">
        <v>15.19</v>
      </c>
      <c r="N44" s="284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4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197">
        <v>0.3</v>
      </c>
      <c r="I45">
        <f>RANK(0.3,H:H,0)</f>
        <v>8</v>
      </c>
      <c r="J45" s="190">
        <v>0.06</v>
      </c>
      <c r="K45">
        <f>RANK(0.06,J:J,0)</f>
        <v>84</v>
      </c>
      <c r="L45" s="62">
        <f>RANK(16.51,M:M,0)</f>
        <v>43</v>
      </c>
      <c r="M45" s="287">
        <v>15.19</v>
      </c>
      <c r="N45" s="284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4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197">
        <v>0.25</v>
      </c>
      <c r="I46">
        <f>RANK(0.25,H:H,0)</f>
        <v>10</v>
      </c>
      <c r="J46" s="190">
        <v>0.06</v>
      </c>
      <c r="K46">
        <f>RANK(0.06,J:J,0)</f>
        <v>84</v>
      </c>
      <c r="L46" s="62">
        <f>RANK(16.16,M:M,0)</f>
        <v>45</v>
      </c>
      <c r="M46" s="287">
        <v>15.19</v>
      </c>
      <c r="N46" s="284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4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197">
        <v>0.09</v>
      </c>
      <c r="I47">
        <f>RANK(0.09,H:H,0)</f>
        <v>63</v>
      </c>
      <c r="J47" s="190">
        <v>0.08</v>
      </c>
      <c r="K47">
        <f>RANK(0.08,J:J,0)</f>
        <v>37</v>
      </c>
      <c r="L47" s="62">
        <f>RANK(15.19,M:M,0)</f>
        <v>46</v>
      </c>
      <c r="M47" s="287">
        <v>14.75</v>
      </c>
      <c r="N47" s="284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4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197">
        <v>0.09</v>
      </c>
      <c r="I48">
        <f>RANK(0.09,H:H,0)</f>
        <v>63</v>
      </c>
      <c r="J48" s="190">
        <v>0.08</v>
      </c>
      <c r="K48">
        <f>RANK(0.08,J:J,0)</f>
        <v>37</v>
      </c>
      <c r="L48" s="62">
        <f>RANK(15.19,M:M,0)</f>
        <v>46</v>
      </c>
      <c r="M48" s="287">
        <v>14.75</v>
      </c>
      <c r="N48" s="284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4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197">
        <v>0.09</v>
      </c>
      <c r="I49">
        <f>RANK(0.09,H:H,0)</f>
        <v>63</v>
      </c>
      <c r="J49" s="190">
        <v>0.08</v>
      </c>
      <c r="K49">
        <f>RANK(0.08,J:J,0)</f>
        <v>37</v>
      </c>
      <c r="L49" s="62">
        <f>RANK(15.19,M:M,0)</f>
        <v>46</v>
      </c>
      <c r="M49" s="287">
        <v>13.94</v>
      </c>
      <c r="N49" s="284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4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197">
        <v>0.09</v>
      </c>
      <c r="I50">
        <f>RANK(0.09,H:H,0)</f>
        <v>63</v>
      </c>
      <c r="J50" s="190">
        <v>0.08</v>
      </c>
      <c r="K50">
        <f>RANK(0.08,J:J,0)</f>
        <v>37</v>
      </c>
      <c r="L50" s="62">
        <f>RANK(15.19,M:M,0)</f>
        <v>46</v>
      </c>
      <c r="M50" s="287">
        <v>14.2</v>
      </c>
      <c r="N50" s="284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4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197">
        <v>0.1</v>
      </c>
      <c r="I51">
        <f>RANK(0.1,H:H,0)</f>
        <v>46</v>
      </c>
      <c r="J51" s="190">
        <v>7.0000000000000007E-2</v>
      </c>
      <c r="K51">
        <f>RANK(0.07,J:J,0)</f>
        <v>57</v>
      </c>
      <c r="L51" s="62">
        <f>RANK(14.75,M:M,0)</f>
        <v>50</v>
      </c>
      <c r="M51" s="287">
        <v>12.98</v>
      </c>
      <c r="N51" s="284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4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197">
        <v>0.1</v>
      </c>
      <c r="I52">
        <f>RANK(0.1,H:H,0)</f>
        <v>46</v>
      </c>
      <c r="J52" s="190">
        <v>7.0000000000000007E-2</v>
      </c>
      <c r="K52">
        <f>RANK(0.07,J:J,0)</f>
        <v>57</v>
      </c>
      <c r="L52" s="62">
        <f>RANK(14.75,M:M,0)</f>
        <v>50</v>
      </c>
      <c r="M52" s="287">
        <v>12.98</v>
      </c>
      <c r="N52" s="284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4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197">
        <v>0.1</v>
      </c>
      <c r="I53">
        <f>RANK(0.1,H:H,0)</f>
        <v>46</v>
      </c>
      <c r="J53" s="190">
        <v>7.0000000000000007E-2</v>
      </c>
      <c r="K53">
        <f>RANK(0.07,J:J,0)</f>
        <v>57</v>
      </c>
      <c r="L53" s="62">
        <f>RANK(14.75,M:M,0)</f>
        <v>50</v>
      </c>
      <c r="M53" s="287">
        <v>12.98</v>
      </c>
      <c r="N53" s="284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4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197">
        <v>0.13</v>
      </c>
      <c r="I54">
        <f>RANK(0.13,H:H,0)</f>
        <v>23</v>
      </c>
      <c r="J54" s="190">
        <v>0.06</v>
      </c>
      <c r="K54">
        <f>RANK(0.06,J:J,0)</f>
        <v>84</v>
      </c>
      <c r="L54" s="62">
        <f>RANK(14.2,M:M,0)</f>
        <v>53</v>
      </c>
      <c r="M54" s="287">
        <v>12.98</v>
      </c>
      <c r="N54" s="284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4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197">
        <v>0.13</v>
      </c>
      <c r="I55">
        <f>RANK(0.13,H:H,0)</f>
        <v>23</v>
      </c>
      <c r="J55" s="190">
        <v>0.06</v>
      </c>
      <c r="K55">
        <f>RANK(0.06,J:J,0)</f>
        <v>84</v>
      </c>
      <c r="L55" s="62">
        <f>RANK(14.2,M:M,0)</f>
        <v>53</v>
      </c>
      <c r="M55" s="287">
        <v>12.66</v>
      </c>
      <c r="N55" s="284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4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197">
        <v>0.08</v>
      </c>
      <c r="I56">
        <f t="shared" ref="I56:I63" si="0">RANK(0.08,H:H,0)</f>
        <v>80</v>
      </c>
      <c r="J56" s="190">
        <v>0.09</v>
      </c>
      <c r="K56">
        <f>RANK(0.09,J:J,0)</f>
        <v>29</v>
      </c>
      <c r="L56" s="62">
        <f>RANK(13.94,M:M,0)</f>
        <v>55</v>
      </c>
      <c r="M56" s="287">
        <v>12.66</v>
      </c>
      <c r="N56" s="284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4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197">
        <v>0.08</v>
      </c>
      <c r="I57">
        <f t="shared" si="0"/>
        <v>80</v>
      </c>
      <c r="J57" s="190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287">
        <v>11.17</v>
      </c>
      <c r="N57" s="284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4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197">
        <v>0.08</v>
      </c>
      <c r="I58">
        <f t="shared" si="0"/>
        <v>80</v>
      </c>
      <c r="J58" s="190">
        <v>0.08</v>
      </c>
      <c r="K58">
        <f t="shared" si="1"/>
        <v>37</v>
      </c>
      <c r="L58" s="62">
        <f t="shared" si="2"/>
        <v>56</v>
      </c>
      <c r="M58" s="287">
        <v>11.09</v>
      </c>
      <c r="N58" s="284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4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197">
        <v>0.08</v>
      </c>
      <c r="I59">
        <f t="shared" si="0"/>
        <v>80</v>
      </c>
      <c r="J59" s="190">
        <v>0.08</v>
      </c>
      <c r="K59">
        <f t="shared" si="1"/>
        <v>37</v>
      </c>
      <c r="L59" s="62">
        <f t="shared" si="2"/>
        <v>56</v>
      </c>
      <c r="M59" s="287">
        <v>11.09</v>
      </c>
      <c r="N59" s="284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4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197">
        <v>0.08</v>
      </c>
      <c r="I60">
        <f t="shared" si="0"/>
        <v>80</v>
      </c>
      <c r="J60" s="190">
        <v>0.08</v>
      </c>
      <c r="K60">
        <f t="shared" si="1"/>
        <v>37</v>
      </c>
      <c r="L60" s="62">
        <f t="shared" si="2"/>
        <v>56</v>
      </c>
      <c r="M60" s="287">
        <v>11.09</v>
      </c>
      <c r="N60" s="284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4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197">
        <v>0.08</v>
      </c>
      <c r="I61">
        <f t="shared" si="0"/>
        <v>80</v>
      </c>
      <c r="J61" s="190">
        <v>0.08</v>
      </c>
      <c r="K61">
        <f t="shared" si="1"/>
        <v>37</v>
      </c>
      <c r="L61" s="62">
        <f t="shared" si="2"/>
        <v>56</v>
      </c>
      <c r="M61" s="287">
        <v>11.09</v>
      </c>
      <c r="N61" s="284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4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197">
        <v>0.08</v>
      </c>
      <c r="I62">
        <f t="shared" si="0"/>
        <v>80</v>
      </c>
      <c r="J62" s="190">
        <v>0.08</v>
      </c>
      <c r="K62">
        <f t="shared" si="1"/>
        <v>37</v>
      </c>
      <c r="L62" s="62">
        <f t="shared" si="2"/>
        <v>56</v>
      </c>
      <c r="M62" s="287">
        <v>11.09</v>
      </c>
      <c r="N62" s="284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4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197">
        <v>0.08</v>
      </c>
      <c r="I63">
        <f t="shared" si="0"/>
        <v>80</v>
      </c>
      <c r="J63" s="190">
        <v>0.08</v>
      </c>
      <c r="K63">
        <f t="shared" si="1"/>
        <v>37</v>
      </c>
      <c r="L63" s="62">
        <f t="shared" si="2"/>
        <v>56</v>
      </c>
      <c r="M63" s="287">
        <v>11.09</v>
      </c>
      <c r="N63" s="284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4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197">
        <v>0.09</v>
      </c>
      <c r="I64">
        <f>RANK(0.09,H:H,0)</f>
        <v>63</v>
      </c>
      <c r="J64" s="190">
        <v>7.0000000000000007E-2</v>
      </c>
      <c r="K64">
        <f>RANK(0.07,J:J,0)</f>
        <v>57</v>
      </c>
      <c r="L64" s="62">
        <f>RANK(12.66,M:M,0)</f>
        <v>63</v>
      </c>
      <c r="M64" s="287">
        <v>10.55</v>
      </c>
      <c r="N64" s="284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4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197">
        <v>0.09</v>
      </c>
      <c r="I65">
        <f>RANK(0.09,H:H,0)</f>
        <v>63</v>
      </c>
      <c r="J65" s="190">
        <v>7.0000000000000007E-2</v>
      </c>
      <c r="K65">
        <f>RANK(0.07,J:J,0)</f>
        <v>57</v>
      </c>
      <c r="L65" s="62">
        <f>RANK(12.66,M:M,0)</f>
        <v>63</v>
      </c>
      <c r="M65" s="287">
        <v>10.55</v>
      </c>
      <c r="N65" s="284">
        <f>VLOOKUP(2707,季財報!A:N,8,0)</f>
        <v>1</v>
      </c>
      <c r="P65" s="46"/>
      <c r="AC65" s="46"/>
      <c r="AF65" s="46"/>
      <c r="AH65" s="46"/>
    </row>
    <row r="66" spans="1:34">
      <c r="A66" s="184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197">
        <v>0.09</v>
      </c>
      <c r="I66">
        <f>RANK(0.09,H:H,0)</f>
        <v>63</v>
      </c>
      <c r="J66" s="190">
        <v>7.0000000000000007E-2</v>
      </c>
      <c r="K66">
        <f>RANK(0.07,J:J,0)</f>
        <v>57</v>
      </c>
      <c r="L66" s="62">
        <f>RANK(12.66,M:M,0)</f>
        <v>63</v>
      </c>
      <c r="M66" s="287">
        <v>10.33</v>
      </c>
      <c r="N66" s="284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4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197">
        <v>0.09</v>
      </c>
      <c r="I67">
        <f>RANK(0.09,H:H,0)</f>
        <v>63</v>
      </c>
      <c r="J67" s="190">
        <v>7.0000000000000007E-2</v>
      </c>
      <c r="K67">
        <f>RANK(0.07,J:J,0)</f>
        <v>57</v>
      </c>
      <c r="L67" s="62">
        <f>RANK(12.66,M:M,0)</f>
        <v>63</v>
      </c>
      <c r="M67" s="287">
        <v>9.8000000000000007</v>
      </c>
      <c r="N67" s="284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4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197">
        <v>0.11</v>
      </c>
      <c r="I68">
        <f>RANK(0.11,H:H,0)</f>
        <v>38</v>
      </c>
      <c r="J68" s="190">
        <v>0.06</v>
      </c>
      <c r="K68">
        <f>RANK(0.06,J:J,0)</f>
        <v>84</v>
      </c>
      <c r="L68" s="62">
        <f>RANK(12.45,M:M,0)</f>
        <v>67</v>
      </c>
      <c r="M68" s="287">
        <v>9.26</v>
      </c>
      <c r="N68" s="284">
        <f>VLOOKUP(5388,季財報!A:N,8,0)</f>
        <v>5</v>
      </c>
      <c r="P68" s="46"/>
      <c r="AC68" s="46"/>
      <c r="AF68" s="46"/>
      <c r="AH68" s="46"/>
    </row>
    <row r="69" spans="1:34">
      <c r="A69" s="184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197">
        <v>7.0000000000000007E-2</v>
      </c>
      <c r="I69">
        <f>RANK(0.07,H:H,0)</f>
        <v>107</v>
      </c>
      <c r="J69" s="190">
        <v>0.09</v>
      </c>
      <c r="K69">
        <f>RANK(0.09,J:J,0)</f>
        <v>29</v>
      </c>
      <c r="L69" s="62">
        <f>RANK(11.17,M:M,0)</f>
        <v>68</v>
      </c>
      <c r="M69" s="287">
        <v>9.26</v>
      </c>
      <c r="N69" s="284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4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197">
        <v>7.0000000000000007E-2</v>
      </c>
      <c r="I70">
        <f>RANK(0.07,H:H,0)</f>
        <v>107</v>
      </c>
      <c r="J70" s="190">
        <v>0.09</v>
      </c>
      <c r="K70">
        <f>RANK(0.09,J:J,0)</f>
        <v>29</v>
      </c>
      <c r="L70" s="62">
        <f>RANK(11.17,M:M,0)</f>
        <v>68</v>
      </c>
      <c r="M70" s="287">
        <v>9.26</v>
      </c>
      <c r="N70" s="284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4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197">
        <v>0.08</v>
      </c>
      <c r="I71">
        <f t="shared" ref="I71:I76" si="3">RANK(0.08,H:H,0)</f>
        <v>80</v>
      </c>
      <c r="J71" s="190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287">
        <v>9.26</v>
      </c>
      <c r="N71" s="284">
        <f>VLOOKUP(8916,季財報!A:N,8,0)</f>
        <v>5</v>
      </c>
      <c r="P71" s="46"/>
      <c r="AC71" s="46"/>
      <c r="AF71" s="46"/>
      <c r="AH71" s="46"/>
    </row>
    <row r="72" spans="1:34">
      <c r="A72" s="184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197">
        <v>0.08</v>
      </c>
      <c r="I72">
        <f t="shared" si="3"/>
        <v>80</v>
      </c>
      <c r="J72" s="190">
        <v>7.0000000000000007E-2</v>
      </c>
      <c r="K72">
        <f t="shared" si="4"/>
        <v>57</v>
      </c>
      <c r="L72" s="62">
        <f t="shared" si="5"/>
        <v>70</v>
      </c>
      <c r="M72" s="287">
        <v>9.26</v>
      </c>
      <c r="N72" s="284">
        <f>VLOOKUP(8044,季財報!A:N,8,0)</f>
        <v>1</v>
      </c>
    </row>
    <row r="73" spans="1:34">
      <c r="A73" s="184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197">
        <v>0.08</v>
      </c>
      <c r="I73">
        <f t="shared" si="3"/>
        <v>80</v>
      </c>
      <c r="J73" s="190">
        <v>7.0000000000000007E-2</v>
      </c>
      <c r="K73">
        <f t="shared" si="4"/>
        <v>57</v>
      </c>
      <c r="L73" s="62">
        <f t="shared" si="5"/>
        <v>70</v>
      </c>
      <c r="M73" s="287">
        <v>9.26</v>
      </c>
      <c r="N73" s="284">
        <f>VLOOKUP(4947,季財報!A:N,8,0)</f>
        <v>4</v>
      </c>
    </row>
    <row r="74" spans="1:34">
      <c r="A74" s="184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197">
        <v>0.08</v>
      </c>
      <c r="I74">
        <f t="shared" si="3"/>
        <v>80</v>
      </c>
      <c r="J74" s="190">
        <v>7.0000000000000007E-2</v>
      </c>
      <c r="K74">
        <f t="shared" si="4"/>
        <v>57</v>
      </c>
      <c r="L74" s="62">
        <f t="shared" si="5"/>
        <v>70</v>
      </c>
      <c r="M74" s="287">
        <v>9.26</v>
      </c>
      <c r="N74" s="284">
        <f>VLOOKUP(1232,季財報!A:N,8,0)</f>
        <v>3</v>
      </c>
    </row>
    <row r="75" spans="1:34">
      <c r="A75" s="184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197">
        <v>0.08</v>
      </c>
      <c r="I75">
        <f t="shared" si="3"/>
        <v>80</v>
      </c>
      <c r="J75" s="190">
        <v>7.0000000000000007E-2</v>
      </c>
      <c r="K75">
        <f t="shared" si="4"/>
        <v>57</v>
      </c>
      <c r="L75" s="62">
        <f t="shared" si="5"/>
        <v>70</v>
      </c>
      <c r="M75" s="287">
        <v>9.26</v>
      </c>
      <c r="N75" s="284">
        <f>VLOOKUP(1558,季財報!A:N,8,0)</f>
        <v>4</v>
      </c>
      <c r="P75" s="46"/>
      <c r="AC75" s="46"/>
      <c r="AF75" s="46"/>
      <c r="AH75" s="46"/>
    </row>
    <row r="76" spans="1:34">
      <c r="A76" s="184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197">
        <v>0.08</v>
      </c>
      <c r="I76">
        <f t="shared" si="3"/>
        <v>80</v>
      </c>
      <c r="J76" s="190">
        <v>7.0000000000000007E-2</v>
      </c>
      <c r="K76">
        <f t="shared" si="4"/>
        <v>57</v>
      </c>
      <c r="L76" s="62">
        <f t="shared" si="5"/>
        <v>70</v>
      </c>
      <c r="M76" s="287">
        <v>8.7799999999999994</v>
      </c>
      <c r="N76" s="284">
        <f>VLOOKUP(2723,季財報!A:N,8,0)</f>
        <v>5</v>
      </c>
      <c r="P76" s="46"/>
      <c r="AC76" s="46"/>
      <c r="AF76" s="46"/>
      <c r="AH76" s="46"/>
    </row>
    <row r="77" spans="1:34">
      <c r="A77" s="184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197">
        <v>7.0000000000000007E-2</v>
      </c>
      <c r="I77">
        <f>RANK(0.07,H:H,0)</f>
        <v>107</v>
      </c>
      <c r="J77" s="190">
        <v>0.08</v>
      </c>
      <c r="K77">
        <f>RANK(0.08,J:J,0)</f>
        <v>37</v>
      </c>
      <c r="L77" s="62">
        <f>RANK(10.55,M:M,0)</f>
        <v>76</v>
      </c>
      <c r="M77" s="287">
        <v>8.7799999999999994</v>
      </c>
      <c r="N77" s="284">
        <f>VLOOKUP(4987,季財報!A:N,8,0)</f>
        <v>2</v>
      </c>
      <c r="P77" s="46"/>
      <c r="AC77" s="46"/>
      <c r="AF77" s="46"/>
      <c r="AH77" s="46"/>
    </row>
    <row r="78" spans="1:34">
      <c r="A78" s="184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197">
        <v>7.0000000000000007E-2</v>
      </c>
      <c r="I78">
        <f>RANK(0.07,H:H,0)</f>
        <v>107</v>
      </c>
      <c r="J78" s="190">
        <v>0.08</v>
      </c>
      <c r="K78">
        <f>RANK(0.08,J:J,0)</f>
        <v>37</v>
      </c>
      <c r="L78" s="62">
        <f>RANK(10.55,M:M,0)</f>
        <v>76</v>
      </c>
      <c r="M78" s="287">
        <v>8.39</v>
      </c>
      <c r="N78" s="284">
        <f>VLOOKUP(3030,季財報!A:N,8,0)</f>
        <v>1</v>
      </c>
      <c r="P78" s="46"/>
      <c r="AC78" s="46"/>
      <c r="AF78" s="46"/>
      <c r="AH78" s="46"/>
    </row>
    <row r="79" spans="1:34">
      <c r="A79" s="184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197">
        <v>0.09</v>
      </c>
      <c r="I79">
        <f>RANK(0.09,H:H,0)</f>
        <v>63</v>
      </c>
      <c r="J79" s="190">
        <v>0.06</v>
      </c>
      <c r="K79">
        <f>RANK(0.06,J:J,0)</f>
        <v>84</v>
      </c>
      <c r="L79" s="62">
        <f>RANK(10.33,M:M,0)</f>
        <v>78</v>
      </c>
      <c r="M79" s="287">
        <v>8.39</v>
      </c>
      <c r="N79" s="284">
        <f>VLOOKUP(5225,季財報!A:N,8,0)</f>
        <v>4</v>
      </c>
      <c r="P79" s="46"/>
      <c r="AC79" s="46"/>
      <c r="AF79" s="46"/>
      <c r="AH79" s="46"/>
    </row>
    <row r="80" spans="1:34">
      <c r="A80" s="184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197">
        <v>0.09</v>
      </c>
      <c r="I80">
        <f>RANK(0.09,H:H,0)</f>
        <v>63</v>
      </c>
      <c r="J80" s="190">
        <v>0.06</v>
      </c>
      <c r="K80">
        <f>RANK(0.06,J:J,0)</f>
        <v>84</v>
      </c>
      <c r="L80" s="62">
        <f>RANK(10.33,M:M,0)</f>
        <v>78</v>
      </c>
      <c r="M80" s="287">
        <v>8.39</v>
      </c>
      <c r="N80" s="284">
        <f>VLOOKUP(2404,季財報!A:N,8,0)</f>
        <v>3</v>
      </c>
      <c r="P80" s="46"/>
      <c r="AC80" s="46"/>
      <c r="AF80" s="46"/>
      <c r="AH80" s="46"/>
    </row>
    <row r="81" spans="1:34">
      <c r="A81" s="184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197">
        <v>0.14000000000000001</v>
      </c>
      <c r="I81">
        <f>RANK(0.14,H:H,0)</f>
        <v>20</v>
      </c>
      <c r="J81" s="190">
        <v>0.05</v>
      </c>
      <c r="K81">
        <f>RANK(0.05,J:J,0)</f>
        <v>135</v>
      </c>
      <c r="L81" s="62">
        <f>RANK(9.8,M:M,0)</f>
        <v>80</v>
      </c>
      <c r="M81" s="287">
        <v>7.91</v>
      </c>
      <c r="N81" s="284">
        <f>VLOOKUP(6803,季財報!A:N,8,0)</f>
        <v>3</v>
      </c>
      <c r="P81" s="46"/>
      <c r="AC81" s="46"/>
      <c r="AF81" s="46"/>
      <c r="AH81" s="46"/>
    </row>
    <row r="82" spans="1:34">
      <c r="A82" s="184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197">
        <v>7.0000000000000007E-2</v>
      </c>
      <c r="I82">
        <f t="shared" ref="I82:I87" si="6">RANK(0.07,H:H,0)</f>
        <v>107</v>
      </c>
      <c r="J82" s="190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287">
        <v>7.95</v>
      </c>
      <c r="N82" s="284">
        <f>VLOOKUP(2059,季財報!A:N,8,0)</f>
        <v>4</v>
      </c>
      <c r="P82" s="46"/>
      <c r="AC82" s="46"/>
      <c r="AF82" s="46"/>
      <c r="AH82" s="46"/>
    </row>
    <row r="83" spans="1:34">
      <c r="A83" s="184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197">
        <v>7.0000000000000007E-2</v>
      </c>
      <c r="I83">
        <f t="shared" si="6"/>
        <v>107</v>
      </c>
      <c r="J83" s="190">
        <v>7.0000000000000007E-2</v>
      </c>
      <c r="K83">
        <f t="shared" si="7"/>
        <v>57</v>
      </c>
      <c r="L83" s="62">
        <f t="shared" si="8"/>
        <v>81</v>
      </c>
      <c r="M83" s="287">
        <v>7.95</v>
      </c>
      <c r="N83" s="284">
        <f>VLOOKUP(2066,季財報!A:N,8,0)</f>
        <v>3</v>
      </c>
      <c r="P83" s="46"/>
      <c r="AC83" s="46"/>
      <c r="AF83" s="46"/>
      <c r="AH83" s="46"/>
    </row>
    <row r="84" spans="1:34">
      <c r="A84" s="184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197">
        <v>7.0000000000000007E-2</v>
      </c>
      <c r="I84">
        <f t="shared" si="6"/>
        <v>107</v>
      </c>
      <c r="J84" s="190">
        <v>7.0000000000000007E-2</v>
      </c>
      <c r="K84">
        <f t="shared" si="7"/>
        <v>57</v>
      </c>
      <c r="L84" s="62">
        <f t="shared" si="8"/>
        <v>81</v>
      </c>
      <c r="M84" s="287">
        <v>7.95</v>
      </c>
      <c r="N84" s="284">
        <f>VLOOKUP(2228,季財報!A:N,8,0)</f>
        <v>4</v>
      </c>
      <c r="P84" s="46"/>
      <c r="AC84" s="46"/>
      <c r="AF84" s="46"/>
      <c r="AH84" s="46"/>
    </row>
    <row r="85" spans="1:34">
      <c r="A85" s="184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197">
        <v>7.0000000000000007E-2</v>
      </c>
      <c r="I85">
        <f t="shared" si="6"/>
        <v>107</v>
      </c>
      <c r="J85" s="190">
        <v>7.0000000000000007E-2</v>
      </c>
      <c r="K85">
        <f t="shared" si="7"/>
        <v>57</v>
      </c>
      <c r="L85" s="62">
        <f t="shared" si="8"/>
        <v>81</v>
      </c>
      <c r="M85" s="287">
        <v>7.95</v>
      </c>
      <c r="N85" s="284">
        <f>VLOOKUP(2926,季財報!A:N,8,0)</f>
        <v>2</v>
      </c>
      <c r="P85" s="46"/>
      <c r="AC85" s="46"/>
      <c r="AF85" s="46"/>
      <c r="AH85" s="46"/>
    </row>
    <row r="86" spans="1:34">
      <c r="A86" s="184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197">
        <v>7.0000000000000007E-2</v>
      </c>
      <c r="I86">
        <f t="shared" si="6"/>
        <v>107</v>
      </c>
      <c r="J86" s="190">
        <v>7.0000000000000007E-2</v>
      </c>
      <c r="K86">
        <f t="shared" si="7"/>
        <v>57</v>
      </c>
      <c r="L86" s="62">
        <f t="shared" si="8"/>
        <v>81</v>
      </c>
      <c r="M86" s="287">
        <v>7.95</v>
      </c>
      <c r="N86" s="284">
        <f>VLOOKUP(3130,季財報!A:N,8,0)</f>
        <v>2</v>
      </c>
      <c r="P86" s="46"/>
      <c r="AC86" s="46"/>
      <c r="AF86" s="46"/>
      <c r="AH86" s="46"/>
    </row>
    <row r="87" spans="1:34">
      <c r="A87" s="184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197">
        <v>7.0000000000000007E-2</v>
      </c>
      <c r="I87">
        <f t="shared" si="6"/>
        <v>107</v>
      </c>
      <c r="J87" s="190">
        <v>7.0000000000000007E-2</v>
      </c>
      <c r="K87">
        <f t="shared" si="7"/>
        <v>57</v>
      </c>
      <c r="L87" s="62">
        <f t="shared" si="8"/>
        <v>81</v>
      </c>
      <c r="M87" s="287">
        <v>7.95</v>
      </c>
      <c r="N87" s="284">
        <f>VLOOKUP(3623,季財報!A:N,8,0)</f>
        <v>3</v>
      </c>
      <c r="P87" s="46"/>
      <c r="AC87" s="46"/>
      <c r="AF87" s="46"/>
      <c r="AH87" s="46"/>
    </row>
    <row r="88" spans="1:34">
      <c r="A88" s="184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197">
        <v>0.08</v>
      </c>
      <c r="I88">
        <f>RANK(0.08,H:H,0)</f>
        <v>80</v>
      </c>
      <c r="J88" s="190">
        <v>0.06</v>
      </c>
      <c r="K88">
        <f>RANK(0.06,J:J,0)</f>
        <v>84</v>
      </c>
      <c r="L88" s="62">
        <f t="shared" si="8"/>
        <v>81</v>
      </c>
      <c r="M88" s="287">
        <v>7.95</v>
      </c>
      <c r="N88" s="284">
        <f>VLOOKUP(1817,季財報!A:N,8,0)</f>
        <v>3</v>
      </c>
      <c r="P88" s="46"/>
      <c r="AC88" s="46"/>
      <c r="AF88" s="46"/>
      <c r="AH88" s="46"/>
    </row>
    <row r="89" spans="1:34">
      <c r="A89" s="184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197">
        <v>0.08</v>
      </c>
      <c r="I89">
        <f>RANK(0.08,H:H,0)</f>
        <v>80</v>
      </c>
      <c r="J89" s="190">
        <v>0.06</v>
      </c>
      <c r="K89">
        <f>RANK(0.06,J:J,0)</f>
        <v>84</v>
      </c>
      <c r="L89" s="62">
        <f t="shared" si="8"/>
        <v>81</v>
      </c>
      <c r="M89" s="287">
        <v>7.95</v>
      </c>
      <c r="N89" s="284">
        <f>VLOOKUP(2420,季財報!A:N,8,0)</f>
        <v>3</v>
      </c>
      <c r="P89" s="46"/>
      <c r="AC89" s="46"/>
      <c r="AF89" s="46"/>
      <c r="AH89" s="46"/>
    </row>
    <row r="90" spans="1:34">
      <c r="A90" s="184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197">
        <v>7.0000000000000007E-2</v>
      </c>
      <c r="I90">
        <f>RANK(0.07,H:H,0)</f>
        <v>107</v>
      </c>
      <c r="J90" s="190">
        <v>7.0000000000000007E-2</v>
      </c>
      <c r="K90">
        <f>RANK(0.07,J:J,0)</f>
        <v>57</v>
      </c>
      <c r="L90" s="62">
        <f t="shared" si="8"/>
        <v>81</v>
      </c>
      <c r="M90" s="287">
        <v>7.95</v>
      </c>
      <c r="N90" s="284">
        <f>VLOOKUP(6224,季財報!A:N,8,0)</f>
        <v>2</v>
      </c>
    </row>
    <row r="91" spans="1:34">
      <c r="A91" s="184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197">
        <v>0.08</v>
      </c>
      <c r="I91">
        <f>RANK(0.08,H:H,0)</f>
        <v>80</v>
      </c>
      <c r="J91" s="190">
        <v>0.06</v>
      </c>
      <c r="K91">
        <f>RANK(0.06,J:J,0)</f>
        <v>84</v>
      </c>
      <c r="L91" s="62">
        <f t="shared" si="8"/>
        <v>81</v>
      </c>
      <c r="M91" s="287">
        <v>7.95</v>
      </c>
      <c r="N91" s="284">
        <f>VLOOKUP(3413,季財報!A:N,8,0)</f>
        <v>2</v>
      </c>
    </row>
    <row r="92" spans="1:34">
      <c r="A92" s="184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197">
        <v>0.08</v>
      </c>
      <c r="I92">
        <f>RANK(0.08,H:H,0)</f>
        <v>80</v>
      </c>
      <c r="J92" s="190">
        <v>0.06</v>
      </c>
      <c r="K92">
        <f>RANK(0.06,J:J,0)</f>
        <v>84</v>
      </c>
      <c r="L92" s="62">
        <f t="shared" si="8"/>
        <v>81</v>
      </c>
      <c r="M92" s="287">
        <v>7.95</v>
      </c>
      <c r="N92" s="284">
        <f>VLOOKUP(3498,季財報!A:N,8,0)</f>
        <v>4</v>
      </c>
    </row>
    <row r="93" spans="1:34">
      <c r="A93" s="184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197">
        <v>0.11</v>
      </c>
      <c r="I93">
        <f>RANK(0.11,H:H,0)</f>
        <v>38</v>
      </c>
      <c r="J93" s="190">
        <v>0.05</v>
      </c>
      <c r="K93">
        <f>RANK(0.05,J:J,0)</f>
        <v>135</v>
      </c>
      <c r="L93" s="62">
        <f>RANK(8.78,M:M,0)</f>
        <v>92</v>
      </c>
      <c r="M93" s="287">
        <v>7.95</v>
      </c>
      <c r="N93" s="284">
        <f>VLOOKUP(9917,季財報!A:N,8,0)</f>
        <v>2</v>
      </c>
    </row>
    <row r="94" spans="1:34">
      <c r="A94" s="184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197">
        <v>0.11</v>
      </c>
      <c r="I94">
        <f>RANK(0.11,H:H,0)</f>
        <v>38</v>
      </c>
      <c r="J94" s="190">
        <v>0.05</v>
      </c>
      <c r="K94">
        <f>RANK(0.05,J:J,0)</f>
        <v>135</v>
      </c>
      <c r="L94" s="62">
        <f>RANK(8.78,M:M,0)</f>
        <v>92</v>
      </c>
      <c r="M94" s="287">
        <v>7.95</v>
      </c>
      <c r="N94" s="284">
        <f>VLOOKUP(3045,季財報!A:N,8,0)</f>
        <v>4</v>
      </c>
    </row>
    <row r="95" spans="1:34">
      <c r="A95" s="184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197">
        <v>0.1</v>
      </c>
      <c r="I95">
        <f>RANK(0.1,H:H,0)</f>
        <v>46</v>
      </c>
      <c r="J95" s="190">
        <v>0.05</v>
      </c>
      <c r="K95">
        <f>RANK(0.05,J:J,0)</f>
        <v>135</v>
      </c>
      <c r="L95" s="62">
        <f>RANK(8.39,M:M,0)</f>
        <v>94</v>
      </c>
      <c r="M95" s="287">
        <v>7.17</v>
      </c>
      <c r="N95" s="284">
        <f>VLOOKUP(5206,季財報!A:N,8,0)</f>
        <v>5</v>
      </c>
    </row>
    <row r="96" spans="1:34">
      <c r="A96" s="184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197">
        <v>0.1</v>
      </c>
      <c r="I96">
        <f>RANK(0.1,H:H,0)</f>
        <v>46</v>
      </c>
      <c r="J96" s="190">
        <v>0.05</v>
      </c>
      <c r="K96">
        <f>RANK(0.05,J:J,0)</f>
        <v>135</v>
      </c>
      <c r="L96" s="62">
        <f>RANK(8.39,M:M,0)</f>
        <v>94</v>
      </c>
      <c r="M96" s="287">
        <v>7.17</v>
      </c>
      <c r="N96" s="284">
        <f>VLOOKUP(4966,季財報!A:N,8,0)</f>
        <v>2</v>
      </c>
    </row>
    <row r="97" spans="1:14">
      <c r="A97" s="184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197">
        <v>0.1</v>
      </c>
      <c r="I97">
        <f>RANK(0.1,H:H,0)</f>
        <v>46</v>
      </c>
      <c r="J97" s="190">
        <v>0.05</v>
      </c>
      <c r="K97">
        <f>RANK(0.05,J:J,0)</f>
        <v>135</v>
      </c>
      <c r="L97" s="62">
        <f>RANK(8.39,M:M,0)</f>
        <v>94</v>
      </c>
      <c r="M97" s="287">
        <v>7.17</v>
      </c>
      <c r="N97" s="284">
        <f>VLOOKUP(3528,季財報!A:N,8,0)</f>
        <v>1</v>
      </c>
    </row>
    <row r="98" spans="1:14">
      <c r="A98" s="184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197">
        <v>7.0000000000000007E-2</v>
      </c>
      <c r="I98">
        <f t="shared" ref="I98:I112" si="9">RANK(0.07,H:H,0)</f>
        <v>107</v>
      </c>
      <c r="J98" s="190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287">
        <v>7.07</v>
      </c>
      <c r="N98" s="284">
        <f>VLOOKUP(6286,季財報!A:N,8,0)</f>
        <v>6</v>
      </c>
    </row>
    <row r="99" spans="1:14">
      <c r="A99" s="184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197">
        <v>7.0000000000000007E-2</v>
      </c>
      <c r="I99">
        <f t="shared" si="9"/>
        <v>107</v>
      </c>
      <c r="J99" s="190">
        <v>0.06</v>
      </c>
      <c r="K99">
        <f t="shared" si="10"/>
        <v>84</v>
      </c>
      <c r="L99" s="62">
        <f t="shared" si="11"/>
        <v>97</v>
      </c>
      <c r="M99" s="287">
        <v>7.07</v>
      </c>
      <c r="N99" s="284">
        <f>VLOOKUP(6452,季財報!A:N,8,0)</f>
        <v>2</v>
      </c>
    </row>
    <row r="100" spans="1:14">
      <c r="A100" s="184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197">
        <v>7.0000000000000007E-2</v>
      </c>
      <c r="I100">
        <f t="shared" si="9"/>
        <v>107</v>
      </c>
      <c r="J100" s="190">
        <v>0.06</v>
      </c>
      <c r="K100">
        <f t="shared" si="10"/>
        <v>84</v>
      </c>
      <c r="L100" s="62">
        <f t="shared" si="11"/>
        <v>97</v>
      </c>
      <c r="M100" s="287">
        <v>6.28</v>
      </c>
      <c r="N100" s="284">
        <f>VLOOKUP(6504,季財報!A:N,8,0)</f>
        <v>2</v>
      </c>
    </row>
    <row r="101" spans="1:14">
      <c r="A101" s="184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197">
        <v>7.0000000000000007E-2</v>
      </c>
      <c r="I101">
        <f t="shared" si="9"/>
        <v>107</v>
      </c>
      <c r="J101" s="190">
        <v>0.06</v>
      </c>
      <c r="K101">
        <f t="shared" si="10"/>
        <v>84</v>
      </c>
      <c r="L101" s="62">
        <f t="shared" si="11"/>
        <v>97</v>
      </c>
      <c r="M101" s="287">
        <v>6.28</v>
      </c>
      <c r="N101" s="284">
        <f>VLOOKUP(6202,季財報!A:N,8,0)</f>
        <v>4</v>
      </c>
    </row>
    <row r="102" spans="1:14">
      <c r="A102" s="184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197">
        <v>7.0000000000000007E-2</v>
      </c>
      <c r="I102">
        <f t="shared" si="9"/>
        <v>107</v>
      </c>
      <c r="J102" s="190">
        <v>0.06</v>
      </c>
      <c r="K102">
        <f t="shared" si="10"/>
        <v>84</v>
      </c>
      <c r="L102" s="62">
        <f t="shared" si="11"/>
        <v>97</v>
      </c>
      <c r="M102" s="287">
        <v>6.28</v>
      </c>
      <c r="N102" s="284">
        <f>VLOOKUP(6415,季財報!A:N,8,0)</f>
        <v>2</v>
      </c>
    </row>
    <row r="103" spans="1:14">
      <c r="A103" s="184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197">
        <v>7.0000000000000007E-2</v>
      </c>
      <c r="I103">
        <f t="shared" si="9"/>
        <v>107</v>
      </c>
      <c r="J103" s="190">
        <v>0.06</v>
      </c>
      <c r="K103">
        <f t="shared" si="10"/>
        <v>84</v>
      </c>
      <c r="L103" s="62">
        <f t="shared" si="11"/>
        <v>97</v>
      </c>
      <c r="M103" s="287">
        <v>6.28</v>
      </c>
      <c r="N103" s="284">
        <f>VLOOKUP(5288,季財報!A:N,8,0)</f>
        <v>4</v>
      </c>
    </row>
    <row r="104" spans="1:14">
      <c r="A104" s="184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197">
        <v>7.0000000000000007E-2</v>
      </c>
      <c r="I104">
        <f t="shared" si="9"/>
        <v>107</v>
      </c>
      <c r="J104" s="190">
        <v>0.06</v>
      </c>
      <c r="K104">
        <f t="shared" si="10"/>
        <v>84</v>
      </c>
      <c r="L104" s="62">
        <f t="shared" si="11"/>
        <v>97</v>
      </c>
      <c r="M104" s="287">
        <v>6.28</v>
      </c>
      <c r="N104" s="284">
        <f>VLOOKUP(1507,季財報!A:N,8,0)</f>
        <v>2</v>
      </c>
    </row>
    <row r="105" spans="1:14">
      <c r="A105" s="184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197">
        <v>7.0000000000000007E-2</v>
      </c>
      <c r="I105">
        <f t="shared" si="9"/>
        <v>107</v>
      </c>
      <c r="J105" s="190">
        <v>0.06</v>
      </c>
      <c r="K105">
        <f t="shared" si="10"/>
        <v>84</v>
      </c>
      <c r="L105" s="62">
        <f t="shared" si="11"/>
        <v>97</v>
      </c>
      <c r="M105" s="287">
        <v>6.28</v>
      </c>
      <c r="N105" s="284">
        <f>VLOOKUP(1539,季財報!A:N,8,0)</f>
        <v>4</v>
      </c>
    </row>
    <row r="106" spans="1:14">
      <c r="A106" s="184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197">
        <v>7.0000000000000007E-2</v>
      </c>
      <c r="I106">
        <f t="shared" si="9"/>
        <v>107</v>
      </c>
      <c r="J106" s="190">
        <v>0.06</v>
      </c>
      <c r="K106">
        <f t="shared" si="10"/>
        <v>84</v>
      </c>
      <c r="L106" s="62">
        <f t="shared" si="11"/>
        <v>97</v>
      </c>
      <c r="M106" s="287">
        <v>6.28</v>
      </c>
      <c r="N106" s="284">
        <f>VLOOKUP(2395,季財報!A:N,8,0)</f>
        <v>1</v>
      </c>
    </row>
    <row r="107" spans="1:14">
      <c r="A107" s="184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197">
        <v>7.0000000000000007E-2</v>
      </c>
      <c r="I107">
        <f t="shared" si="9"/>
        <v>107</v>
      </c>
      <c r="J107" s="190">
        <v>0.06</v>
      </c>
      <c r="K107">
        <f t="shared" si="10"/>
        <v>84</v>
      </c>
      <c r="L107" s="62">
        <f t="shared" si="11"/>
        <v>97</v>
      </c>
      <c r="M107" s="287">
        <v>6.36</v>
      </c>
      <c r="N107" s="284">
        <f>VLOOKUP(2474,季財報!A:N,8,0)</f>
        <v>3</v>
      </c>
    </row>
    <row r="108" spans="1:14">
      <c r="A108" s="184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197">
        <v>7.0000000000000007E-2</v>
      </c>
      <c r="I108">
        <f t="shared" si="9"/>
        <v>107</v>
      </c>
      <c r="J108" s="190">
        <v>0.06</v>
      </c>
      <c r="K108">
        <f t="shared" si="10"/>
        <v>84</v>
      </c>
      <c r="L108" s="62">
        <f t="shared" si="11"/>
        <v>97</v>
      </c>
      <c r="M108" s="287">
        <v>6.36</v>
      </c>
      <c r="N108" s="284">
        <f>VLOOKUP(3428,季財報!A:N,8,0)</f>
        <v>5</v>
      </c>
    </row>
    <row r="109" spans="1:14">
      <c r="A109" s="184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197">
        <v>7.0000000000000007E-2</v>
      </c>
      <c r="I109">
        <f t="shared" si="9"/>
        <v>107</v>
      </c>
      <c r="J109" s="190">
        <v>0.06</v>
      </c>
      <c r="K109">
        <f t="shared" si="10"/>
        <v>84</v>
      </c>
      <c r="L109" s="62">
        <f t="shared" si="11"/>
        <v>97</v>
      </c>
      <c r="M109" s="287">
        <v>6.36</v>
      </c>
      <c r="N109" s="284">
        <f>VLOOKUP(3479,季財報!A:N,8,0)</f>
        <v>6</v>
      </c>
    </row>
    <row r="110" spans="1:14">
      <c r="A110" s="184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197">
        <v>7.0000000000000007E-2</v>
      </c>
      <c r="I110">
        <f t="shared" si="9"/>
        <v>107</v>
      </c>
      <c r="J110" s="190">
        <v>0.06</v>
      </c>
      <c r="K110">
        <f t="shared" si="10"/>
        <v>84</v>
      </c>
      <c r="L110" s="62">
        <f t="shared" si="11"/>
        <v>97</v>
      </c>
      <c r="M110" s="287">
        <v>6.36</v>
      </c>
      <c r="N110" s="284">
        <f>VLOOKUP(3529,季財報!A:N,8,0)</f>
        <v>2</v>
      </c>
    </row>
    <row r="111" spans="1:14">
      <c r="A111" s="184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197">
        <v>7.0000000000000007E-2</v>
      </c>
      <c r="I111">
        <f t="shared" si="9"/>
        <v>107</v>
      </c>
      <c r="J111" s="190">
        <v>0.06</v>
      </c>
      <c r="K111">
        <f t="shared" si="10"/>
        <v>84</v>
      </c>
      <c r="L111" s="62">
        <f t="shared" si="11"/>
        <v>97</v>
      </c>
      <c r="M111" s="287">
        <v>6.36</v>
      </c>
      <c r="N111" s="284">
        <f>VLOOKUP(6277,季財報!A:N,8,0)</f>
        <v>2</v>
      </c>
    </row>
    <row r="112" spans="1:14">
      <c r="A112" s="184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197">
        <v>7.0000000000000007E-2</v>
      </c>
      <c r="I112">
        <f t="shared" si="9"/>
        <v>107</v>
      </c>
      <c r="J112" s="190">
        <v>0.06</v>
      </c>
      <c r="K112">
        <f t="shared" si="10"/>
        <v>84</v>
      </c>
      <c r="L112" s="62">
        <f t="shared" si="11"/>
        <v>97</v>
      </c>
      <c r="M112" s="287">
        <v>6.36</v>
      </c>
      <c r="N112" s="284">
        <f>VLOOKUP(3617,季財報!A:N,8,0)</f>
        <v>3</v>
      </c>
    </row>
    <row r="113" spans="1:14">
      <c r="A113" s="184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197">
        <v>0.06</v>
      </c>
      <c r="I113">
        <f>RANK(0.06,H:H,0)</f>
        <v>155</v>
      </c>
      <c r="J113" s="190">
        <v>0.08</v>
      </c>
      <c r="K113">
        <f>RANK(0.08,J:J,0)</f>
        <v>37</v>
      </c>
      <c r="L113" s="62">
        <f>RANK(7.91,M:M,0)</f>
        <v>112</v>
      </c>
      <c r="M113" s="287">
        <v>6.36</v>
      </c>
      <c r="N113" s="284">
        <f>VLOOKUP(5903,季財報!A:N,8,0)</f>
        <v>2</v>
      </c>
    </row>
    <row r="114" spans="1:14">
      <c r="A114" s="184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197">
        <v>0.09</v>
      </c>
      <c r="I114">
        <f>RANK(0.09,H:H,0)</f>
        <v>63</v>
      </c>
      <c r="J114" s="190">
        <v>0.05</v>
      </c>
      <c r="K114">
        <f>RANK(0.05,J:J,0)</f>
        <v>135</v>
      </c>
      <c r="L114" s="62">
        <f>RANK(7.67,M:M,0)</f>
        <v>113</v>
      </c>
      <c r="M114" s="287">
        <v>6.36</v>
      </c>
      <c r="N114" s="284">
        <f>VLOOKUP(2235,季財報!A:N,8,0)</f>
        <v>3</v>
      </c>
    </row>
    <row r="115" spans="1:14">
      <c r="A115" s="184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197">
        <v>0.06</v>
      </c>
      <c r="I115">
        <f>RANK(0.06,H:H,0)</f>
        <v>155</v>
      </c>
      <c r="J115" s="190">
        <v>7.0000000000000007E-2</v>
      </c>
      <c r="K115">
        <f>RANK(0.07,J:J,0)</f>
        <v>57</v>
      </c>
      <c r="L115" s="62">
        <f>RANK(7.17,M:M,0)</f>
        <v>114</v>
      </c>
      <c r="M115" s="287">
        <v>6.36</v>
      </c>
      <c r="N115" s="284">
        <f>VLOOKUP(6179,季財報!A:N,8,0)</f>
        <v>1</v>
      </c>
    </row>
    <row r="116" spans="1:14">
      <c r="A116" s="184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197">
        <v>0.06</v>
      </c>
      <c r="I116">
        <f>RANK(0.06,H:H,0)</f>
        <v>155</v>
      </c>
      <c r="J116" s="190">
        <v>7.0000000000000007E-2</v>
      </c>
      <c r="K116">
        <f>RANK(0.07,J:J,0)</f>
        <v>57</v>
      </c>
      <c r="L116" s="62">
        <f>RANK(7.17,M:M,0)</f>
        <v>114</v>
      </c>
      <c r="M116" s="287">
        <v>6.36</v>
      </c>
      <c r="N116" s="284">
        <f>VLOOKUP(1536,季財報!A:N,8,0)</f>
        <v>4</v>
      </c>
    </row>
    <row r="117" spans="1:14">
      <c r="A117" s="184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197">
        <v>0.06</v>
      </c>
      <c r="I117">
        <f>RANK(0.06,H:H,0)</f>
        <v>155</v>
      </c>
      <c r="J117" s="190">
        <v>7.0000000000000007E-2</v>
      </c>
      <c r="K117">
        <f>RANK(0.07,J:J,0)</f>
        <v>57</v>
      </c>
      <c r="L117" s="62">
        <f>RANK(7.17,M:M,0)</f>
        <v>114</v>
      </c>
      <c r="M117" s="287">
        <v>6.36</v>
      </c>
      <c r="N117" s="284">
        <f>VLOOKUP(2330,季財報!A:N,8,0)</f>
        <v>2</v>
      </c>
    </row>
    <row r="118" spans="1:14">
      <c r="A118" s="184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197">
        <v>0.08</v>
      </c>
      <c r="I118">
        <f>RANK(0.08,H:H,0)</f>
        <v>80</v>
      </c>
      <c r="J118" s="190">
        <v>0.05</v>
      </c>
      <c r="K118">
        <f>RANK(0.05,J:J,0)</f>
        <v>135</v>
      </c>
      <c r="L118" s="62">
        <f>RANK(7.07,M:M,0)</f>
        <v>117</v>
      </c>
      <c r="M118" s="287">
        <v>6.36</v>
      </c>
      <c r="N118" s="284">
        <f>VLOOKUP(8016,季財報!A:N,8,0)</f>
        <v>3</v>
      </c>
    </row>
    <row r="119" spans="1:14">
      <c r="A119" s="184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197">
        <v>0.08</v>
      </c>
      <c r="I119">
        <f>RANK(0.08,H:H,0)</f>
        <v>80</v>
      </c>
      <c r="J119" s="190">
        <v>0.05</v>
      </c>
      <c r="K119">
        <f>RANK(0.05,J:J,0)</f>
        <v>135</v>
      </c>
      <c r="L119" s="62">
        <f>RANK(7.07,M:M,0)</f>
        <v>117</v>
      </c>
      <c r="M119" s="287">
        <v>6.36</v>
      </c>
      <c r="N119" s="284">
        <f>VLOOKUP(4904,季財報!A:N,8,0)</f>
        <v>3</v>
      </c>
    </row>
    <row r="120" spans="1:14">
      <c r="A120" s="184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197">
        <v>0.08</v>
      </c>
      <c r="I120">
        <f>RANK(0.08,H:H,0)</f>
        <v>80</v>
      </c>
      <c r="J120" s="190">
        <v>0.05</v>
      </c>
      <c r="K120">
        <f>RANK(0.05,J:J,0)</f>
        <v>135</v>
      </c>
      <c r="L120" s="62">
        <f>RANK(7.07,M:M,0)</f>
        <v>117</v>
      </c>
      <c r="M120" s="287">
        <v>6.36</v>
      </c>
      <c r="N120" s="284">
        <f>VLOOKUP(5266,季財報!A:N,8,0)</f>
        <v>3</v>
      </c>
    </row>
    <row r="121" spans="1:14">
      <c r="A121" s="184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197">
        <v>0.08</v>
      </c>
      <c r="I121">
        <f>RANK(0.08,H:H,0)</f>
        <v>80</v>
      </c>
      <c r="J121" s="190">
        <v>0.05</v>
      </c>
      <c r="K121">
        <f>RANK(0.05,J:J,0)</f>
        <v>135</v>
      </c>
      <c r="L121" s="62">
        <f>RANK(7.07,M:M,0)</f>
        <v>117</v>
      </c>
      <c r="M121" s="287">
        <v>6.03</v>
      </c>
      <c r="N121" s="284">
        <f>VLOOKUP(3552,季財報!A:N,8,0)</f>
        <v>3</v>
      </c>
    </row>
    <row r="122" spans="1:14">
      <c r="A122" s="184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197">
        <v>0.06</v>
      </c>
      <c r="I122">
        <f t="shared" ref="I122:I141" si="12">RANK(0.06,H:H,0)</f>
        <v>155</v>
      </c>
      <c r="J122" s="190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287">
        <v>5.24</v>
      </c>
      <c r="N122" s="284">
        <f>VLOOKUP(6263,季財報!A:N,8,0)</f>
        <v>2</v>
      </c>
    </row>
    <row r="123" spans="1:14">
      <c r="A123" s="184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197">
        <v>0.06</v>
      </c>
      <c r="I123">
        <f t="shared" si="12"/>
        <v>155</v>
      </c>
      <c r="J123" s="190">
        <v>0.06</v>
      </c>
      <c r="K123">
        <f t="shared" si="13"/>
        <v>84</v>
      </c>
      <c r="L123" s="62">
        <f t="shared" si="14"/>
        <v>121</v>
      </c>
      <c r="M123" s="287">
        <v>5.24</v>
      </c>
      <c r="N123" s="284">
        <f>VLOOKUP(6206,季財報!A:N,8,0)</f>
        <v>2</v>
      </c>
    </row>
    <row r="124" spans="1:14">
      <c r="A124" s="184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197">
        <v>0.06</v>
      </c>
      <c r="I124">
        <f t="shared" si="12"/>
        <v>155</v>
      </c>
      <c r="J124" s="190">
        <v>0.06</v>
      </c>
      <c r="K124">
        <f t="shared" si="13"/>
        <v>84</v>
      </c>
      <c r="L124" s="62">
        <f t="shared" si="14"/>
        <v>121</v>
      </c>
      <c r="M124" s="287">
        <v>5.24</v>
      </c>
      <c r="N124" s="284">
        <f>VLOOKUP(6210,季財報!A:N,8,0)</f>
        <v>2</v>
      </c>
    </row>
    <row r="125" spans="1:14">
      <c r="A125" s="184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197">
        <v>0.06</v>
      </c>
      <c r="I125">
        <f t="shared" si="12"/>
        <v>155</v>
      </c>
      <c r="J125" s="190">
        <v>0.06</v>
      </c>
      <c r="K125">
        <f t="shared" si="13"/>
        <v>84</v>
      </c>
      <c r="L125" s="62">
        <f t="shared" si="14"/>
        <v>121</v>
      </c>
      <c r="M125" s="287">
        <v>5.24</v>
      </c>
      <c r="N125" s="284">
        <f>VLOOKUP(6230,季財報!A:N,8,0)</f>
        <v>4</v>
      </c>
    </row>
    <row r="126" spans="1:14">
      <c r="A126" s="184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197">
        <v>0.06</v>
      </c>
      <c r="I126">
        <f t="shared" si="12"/>
        <v>155</v>
      </c>
      <c r="J126" s="190">
        <v>0.06</v>
      </c>
      <c r="K126">
        <f t="shared" si="13"/>
        <v>84</v>
      </c>
      <c r="L126" s="62">
        <f t="shared" si="14"/>
        <v>121</v>
      </c>
      <c r="M126" s="287">
        <v>5.24</v>
      </c>
      <c r="N126" s="284">
        <f>VLOOKUP(4205,季財報!A:N,8,0)</f>
        <v>4</v>
      </c>
    </row>
    <row r="127" spans="1:14">
      <c r="A127" s="184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197">
        <v>0.06</v>
      </c>
      <c r="I127">
        <f t="shared" si="12"/>
        <v>155</v>
      </c>
      <c r="J127" s="190">
        <v>0.06</v>
      </c>
      <c r="K127">
        <f t="shared" si="13"/>
        <v>84</v>
      </c>
      <c r="L127" s="62">
        <f t="shared" si="14"/>
        <v>121</v>
      </c>
      <c r="M127" s="287">
        <v>5.24</v>
      </c>
      <c r="N127" s="284">
        <f>VLOOKUP(4927,季財報!A:N,8,0)</f>
        <v>3</v>
      </c>
    </row>
    <row r="128" spans="1:14">
      <c r="A128" s="184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197">
        <v>0.06</v>
      </c>
      <c r="I128">
        <f t="shared" si="12"/>
        <v>155</v>
      </c>
      <c r="J128" s="190">
        <v>0.06</v>
      </c>
      <c r="K128">
        <f t="shared" si="13"/>
        <v>84</v>
      </c>
      <c r="L128" s="62">
        <f t="shared" si="14"/>
        <v>121</v>
      </c>
      <c r="M128" s="287">
        <v>5.24</v>
      </c>
      <c r="N128" s="284">
        <f>VLOOKUP(4952,季財報!A:N,8,0)</f>
        <v>3</v>
      </c>
    </row>
    <row r="129" spans="1:14">
      <c r="A129" s="184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197">
        <v>0.06</v>
      </c>
      <c r="I129">
        <f t="shared" si="12"/>
        <v>155</v>
      </c>
      <c r="J129" s="190">
        <v>0.06</v>
      </c>
      <c r="K129">
        <f t="shared" si="13"/>
        <v>84</v>
      </c>
      <c r="L129" s="62">
        <f t="shared" si="14"/>
        <v>121</v>
      </c>
      <c r="M129" s="287">
        <v>5.24</v>
      </c>
      <c r="N129" s="284">
        <f>VLOOKUP(1570,季財報!A:N,8,0)</f>
        <v>5</v>
      </c>
    </row>
    <row r="130" spans="1:14">
      <c r="A130" s="184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197">
        <v>0.06</v>
      </c>
      <c r="I130">
        <f t="shared" si="12"/>
        <v>155</v>
      </c>
      <c r="J130" s="190">
        <v>0.06</v>
      </c>
      <c r="K130">
        <f t="shared" si="13"/>
        <v>84</v>
      </c>
      <c r="L130" s="62">
        <f t="shared" si="14"/>
        <v>121</v>
      </c>
      <c r="M130" s="287">
        <v>5.24</v>
      </c>
      <c r="N130" s="284">
        <f>VLOOKUP(1582,季財報!A:N,8,0)</f>
        <v>3</v>
      </c>
    </row>
    <row r="131" spans="1:14">
      <c r="A131" s="184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197">
        <v>0.06</v>
      </c>
      <c r="I131">
        <f t="shared" si="12"/>
        <v>155</v>
      </c>
      <c r="J131" s="190">
        <v>0.06</v>
      </c>
      <c r="K131">
        <f t="shared" si="13"/>
        <v>84</v>
      </c>
      <c r="L131" s="62">
        <f t="shared" si="14"/>
        <v>121</v>
      </c>
      <c r="M131" s="287">
        <v>5.24</v>
      </c>
      <c r="N131" s="284">
        <f>VLOOKUP(2108,季財報!A:N,8,0)</f>
        <v>3</v>
      </c>
    </row>
    <row r="132" spans="1:14">
      <c r="A132" s="184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197">
        <v>0.06</v>
      </c>
      <c r="I132">
        <f t="shared" si="12"/>
        <v>155</v>
      </c>
      <c r="J132" s="190">
        <v>0.06</v>
      </c>
      <c r="K132">
        <f t="shared" si="13"/>
        <v>84</v>
      </c>
      <c r="L132" s="62">
        <f t="shared" si="14"/>
        <v>121</v>
      </c>
      <c r="M132" s="287">
        <v>5.24</v>
      </c>
      <c r="N132" s="284">
        <f>VLOOKUP(2345,季財報!A:N,8,0)</f>
        <v>4</v>
      </c>
    </row>
    <row r="133" spans="1:14">
      <c r="A133" s="184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197">
        <v>0.06</v>
      </c>
      <c r="I133">
        <f t="shared" si="12"/>
        <v>155</v>
      </c>
      <c r="J133" s="190">
        <v>0.06</v>
      </c>
      <c r="K133">
        <f t="shared" si="13"/>
        <v>84</v>
      </c>
      <c r="L133" s="62">
        <f t="shared" si="14"/>
        <v>121</v>
      </c>
      <c r="M133" s="287">
        <v>5.24</v>
      </c>
      <c r="N133" s="284">
        <f>VLOOKUP(2929,季財報!A:N,8,0)</f>
        <v>1</v>
      </c>
    </row>
    <row r="134" spans="1:14">
      <c r="A134" s="184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197">
        <v>0.06</v>
      </c>
      <c r="I134">
        <f t="shared" si="12"/>
        <v>155</v>
      </c>
      <c r="J134" s="190">
        <v>0.06</v>
      </c>
      <c r="K134">
        <f t="shared" si="13"/>
        <v>84</v>
      </c>
      <c r="L134" s="62">
        <f t="shared" si="14"/>
        <v>121</v>
      </c>
      <c r="M134" s="287">
        <v>5.24</v>
      </c>
      <c r="N134" s="284">
        <f>VLOOKUP(3285,季財報!A:N,8,0)</f>
        <v>4</v>
      </c>
    </row>
    <row r="135" spans="1:14">
      <c r="A135" s="184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197">
        <v>0.06</v>
      </c>
      <c r="I135">
        <f t="shared" si="12"/>
        <v>155</v>
      </c>
      <c r="J135" s="190">
        <v>0.06</v>
      </c>
      <c r="K135">
        <f t="shared" si="13"/>
        <v>84</v>
      </c>
      <c r="L135" s="62">
        <f t="shared" si="14"/>
        <v>121</v>
      </c>
      <c r="M135" s="287">
        <v>5.24</v>
      </c>
      <c r="N135" s="284">
        <f>VLOOKUP(3587,季財報!A:N,8,0)</f>
        <v>4</v>
      </c>
    </row>
    <row r="136" spans="1:14">
      <c r="A136" s="184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197">
        <v>0.06</v>
      </c>
      <c r="I136">
        <f t="shared" si="12"/>
        <v>155</v>
      </c>
      <c r="J136" s="190">
        <v>0.06</v>
      </c>
      <c r="K136">
        <f t="shared" si="13"/>
        <v>84</v>
      </c>
      <c r="L136" s="62">
        <f t="shared" si="14"/>
        <v>121</v>
      </c>
      <c r="M136" s="287">
        <v>5.24</v>
      </c>
      <c r="N136" s="284">
        <f>VLOOKUP(6422,季財報!A:N,8,0)</f>
        <v>1</v>
      </c>
    </row>
    <row r="137" spans="1:14">
      <c r="A137" s="184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197">
        <v>0.06</v>
      </c>
      <c r="I137">
        <f t="shared" si="12"/>
        <v>155</v>
      </c>
      <c r="J137" s="190">
        <v>0.06</v>
      </c>
      <c r="K137">
        <f t="shared" si="13"/>
        <v>84</v>
      </c>
      <c r="L137" s="62">
        <f t="shared" si="14"/>
        <v>121</v>
      </c>
      <c r="M137" s="287">
        <v>5.24</v>
      </c>
      <c r="N137" s="284">
        <f>VLOOKUP(6248,季財報!A:N,8,0)</f>
        <v>2</v>
      </c>
    </row>
    <row r="138" spans="1:14">
      <c r="A138" s="184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197">
        <v>0.06</v>
      </c>
      <c r="I138">
        <f t="shared" si="12"/>
        <v>155</v>
      </c>
      <c r="J138" s="190">
        <v>0.06</v>
      </c>
      <c r="K138">
        <f t="shared" si="13"/>
        <v>84</v>
      </c>
      <c r="L138" s="62">
        <f t="shared" si="14"/>
        <v>121</v>
      </c>
      <c r="M138" s="287">
        <v>5.24</v>
      </c>
      <c r="N138" s="284">
        <f>VLOOKUP(5284,季財報!A:N,8,0)</f>
        <v>4</v>
      </c>
    </row>
    <row r="139" spans="1:14">
      <c r="A139" s="184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197">
        <v>0.06</v>
      </c>
      <c r="I139">
        <f t="shared" si="12"/>
        <v>155</v>
      </c>
      <c r="J139" s="190">
        <v>0.06</v>
      </c>
      <c r="K139">
        <f t="shared" si="13"/>
        <v>84</v>
      </c>
      <c r="L139" s="62">
        <f t="shared" si="14"/>
        <v>121</v>
      </c>
      <c r="M139" s="287">
        <v>5.24</v>
      </c>
      <c r="N139" s="284">
        <f>VLOOKUP(4557,季財報!A:N,8,0)</f>
        <v>0</v>
      </c>
    </row>
    <row r="140" spans="1:14">
      <c r="A140" s="184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197">
        <v>0.06</v>
      </c>
      <c r="I140">
        <f t="shared" si="12"/>
        <v>155</v>
      </c>
      <c r="J140" s="190">
        <v>0.06</v>
      </c>
      <c r="K140">
        <f t="shared" si="13"/>
        <v>84</v>
      </c>
      <c r="L140" s="62">
        <f t="shared" si="14"/>
        <v>121</v>
      </c>
      <c r="M140" s="287">
        <v>5.24</v>
      </c>
      <c r="N140" s="284">
        <f>VLOOKUP(1702,季財報!A:N,8,0)</f>
        <v>2</v>
      </c>
    </row>
    <row r="141" spans="1:14">
      <c r="A141" s="184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197">
        <v>0.06</v>
      </c>
      <c r="I141">
        <f t="shared" si="12"/>
        <v>155</v>
      </c>
      <c r="J141" s="190">
        <v>0.06</v>
      </c>
      <c r="K141">
        <f t="shared" si="13"/>
        <v>84</v>
      </c>
      <c r="L141" s="62">
        <f t="shared" si="14"/>
        <v>121</v>
      </c>
      <c r="M141" s="287">
        <v>5.24</v>
      </c>
      <c r="N141" s="284">
        <f>VLOOKUP(4126,季財報!A:N,8,0)</f>
        <v>4</v>
      </c>
    </row>
    <row r="142" spans="1:14">
      <c r="A142" s="184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197">
        <v>7.0000000000000007E-2</v>
      </c>
      <c r="I142">
        <f t="shared" ref="I142:I151" si="15">RANK(0.07,H:H,0)</f>
        <v>107</v>
      </c>
      <c r="J142" s="190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287">
        <v>5.0599999999999996</v>
      </c>
      <c r="N142" s="284">
        <f>VLOOKUP(5264,季財報!A:N,8,0)</f>
        <v>3</v>
      </c>
    </row>
    <row r="143" spans="1:14">
      <c r="A143" s="184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197">
        <v>7.0000000000000007E-2</v>
      </c>
      <c r="I143">
        <f t="shared" si="15"/>
        <v>107</v>
      </c>
      <c r="J143" s="190">
        <v>0.05</v>
      </c>
      <c r="K143">
        <f t="shared" si="16"/>
        <v>135</v>
      </c>
      <c r="L143" s="62">
        <f t="shared" si="17"/>
        <v>141</v>
      </c>
      <c r="M143" s="287">
        <v>4.82</v>
      </c>
      <c r="N143" s="284">
        <f>VLOOKUP(5706,季財報!A:N,8,0)</f>
        <v>4</v>
      </c>
    </row>
    <row r="144" spans="1:14">
      <c r="A144" s="184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197">
        <v>7.0000000000000007E-2</v>
      </c>
      <c r="I144">
        <f t="shared" si="15"/>
        <v>107</v>
      </c>
      <c r="J144" s="190">
        <v>0.05</v>
      </c>
      <c r="K144">
        <f t="shared" si="16"/>
        <v>135</v>
      </c>
      <c r="L144" s="62">
        <f t="shared" si="17"/>
        <v>141</v>
      </c>
      <c r="M144" s="287">
        <v>4.82</v>
      </c>
      <c r="N144" s="284">
        <f>VLOOKUP(4401,季財報!A:N,8,0)</f>
        <v>2</v>
      </c>
    </row>
    <row r="145" spans="1:14">
      <c r="A145" s="184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197">
        <v>7.0000000000000007E-2</v>
      </c>
      <c r="I145">
        <f t="shared" si="15"/>
        <v>107</v>
      </c>
      <c r="J145" s="190">
        <v>0.05</v>
      </c>
      <c r="K145">
        <f t="shared" si="16"/>
        <v>135</v>
      </c>
      <c r="L145" s="62">
        <f t="shared" si="17"/>
        <v>141</v>
      </c>
      <c r="M145" s="287">
        <v>4.6500000000000004</v>
      </c>
      <c r="N145" s="284">
        <f>VLOOKUP(2308,季財報!A:N,8,0)</f>
        <v>4</v>
      </c>
    </row>
    <row r="146" spans="1:14">
      <c r="A146" s="184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197">
        <v>7.0000000000000007E-2</v>
      </c>
      <c r="I146">
        <f t="shared" si="15"/>
        <v>107</v>
      </c>
      <c r="J146" s="190">
        <v>0.05</v>
      </c>
      <c r="K146">
        <f t="shared" si="16"/>
        <v>135</v>
      </c>
      <c r="L146" s="62">
        <f t="shared" si="17"/>
        <v>141</v>
      </c>
      <c r="M146" s="287">
        <v>4.6500000000000004</v>
      </c>
      <c r="N146" s="284">
        <f>VLOOKUP(3034,季財報!A:N,8,0)</f>
        <v>3</v>
      </c>
    </row>
    <row r="147" spans="1:14">
      <c r="A147" s="184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197">
        <v>7.0000000000000007E-2</v>
      </c>
      <c r="I147">
        <f t="shared" si="15"/>
        <v>107</v>
      </c>
      <c r="J147" s="190">
        <v>0.05</v>
      </c>
      <c r="K147">
        <f t="shared" si="16"/>
        <v>135</v>
      </c>
      <c r="L147" s="62">
        <f t="shared" si="17"/>
        <v>141</v>
      </c>
      <c r="M147" s="287">
        <v>4.6500000000000004</v>
      </c>
      <c r="N147" s="284">
        <f>VLOOKUP(3092,季財報!A:N,8,0)</f>
        <v>2</v>
      </c>
    </row>
    <row r="148" spans="1:14">
      <c r="A148" s="184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197">
        <v>7.0000000000000007E-2</v>
      </c>
      <c r="I148">
        <f t="shared" si="15"/>
        <v>107</v>
      </c>
      <c r="J148" s="190">
        <v>0.05</v>
      </c>
      <c r="K148">
        <f t="shared" si="16"/>
        <v>135</v>
      </c>
      <c r="L148" s="62">
        <f t="shared" si="17"/>
        <v>141</v>
      </c>
      <c r="M148" s="287">
        <v>4.6500000000000004</v>
      </c>
      <c r="N148" s="284">
        <f>VLOOKUP(3492,季財報!A:N,8,0)</f>
        <v>4</v>
      </c>
    </row>
    <row r="149" spans="1:14">
      <c r="A149" s="184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197">
        <v>7.0000000000000007E-2</v>
      </c>
      <c r="I149">
        <f t="shared" si="15"/>
        <v>107</v>
      </c>
      <c r="J149" s="190">
        <v>0.05</v>
      </c>
      <c r="K149">
        <f t="shared" si="16"/>
        <v>135</v>
      </c>
      <c r="L149" s="62">
        <f t="shared" si="17"/>
        <v>141</v>
      </c>
      <c r="M149" s="287">
        <v>4.6500000000000004</v>
      </c>
      <c r="N149" s="284">
        <f>VLOOKUP(8383,季財報!A:N,8,0)</f>
        <v>3</v>
      </c>
    </row>
    <row r="150" spans="1:14">
      <c r="A150" s="184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197">
        <v>7.0000000000000007E-2</v>
      </c>
      <c r="I150">
        <f t="shared" si="15"/>
        <v>107</v>
      </c>
      <c r="J150" s="190">
        <v>0.05</v>
      </c>
      <c r="K150">
        <f t="shared" si="16"/>
        <v>135</v>
      </c>
      <c r="L150" s="62">
        <f t="shared" si="17"/>
        <v>141</v>
      </c>
      <c r="M150" s="287">
        <v>4.6500000000000004</v>
      </c>
      <c r="N150" s="284">
        <f>VLOOKUP(4506,季財報!A:N,8,0)</f>
        <v>6</v>
      </c>
    </row>
    <row r="151" spans="1:14">
      <c r="A151" s="184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197">
        <v>7.0000000000000007E-2</v>
      </c>
      <c r="I151">
        <f t="shared" si="15"/>
        <v>107</v>
      </c>
      <c r="J151" s="190">
        <v>0.05</v>
      </c>
      <c r="K151">
        <f t="shared" si="16"/>
        <v>135</v>
      </c>
      <c r="L151" s="62">
        <f t="shared" si="17"/>
        <v>141</v>
      </c>
      <c r="M151" s="287">
        <v>4.6500000000000004</v>
      </c>
      <c r="N151" s="284">
        <f>VLOOKUP(2438,季財報!A:N,8,0)</f>
        <v>2</v>
      </c>
    </row>
    <row r="152" spans="1:14">
      <c r="A152" s="184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197">
        <v>0.12</v>
      </c>
      <c r="I152">
        <f>RANK(0.12,H:H,0)</f>
        <v>32</v>
      </c>
      <c r="J152" s="190">
        <v>0.04</v>
      </c>
      <c r="K152">
        <f>RANK(0.04,J:J,0)</f>
        <v>220</v>
      </c>
      <c r="L152" s="62">
        <f>RANK(6.03,M:M,0)</f>
        <v>151</v>
      </c>
      <c r="M152" s="287">
        <v>4.1500000000000004</v>
      </c>
      <c r="N152" s="284">
        <f>VLOOKUP(4144,季財報!A:N,8,0)</f>
        <v>3</v>
      </c>
    </row>
    <row r="153" spans="1:14">
      <c r="A153" s="184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197">
        <v>0.1</v>
      </c>
      <c r="I153">
        <f>RANK(0.1,H:H,0)</f>
        <v>46</v>
      </c>
      <c r="J153" s="190">
        <v>0.04</v>
      </c>
      <c r="K153">
        <f>RANK(0.04,J:J,0)</f>
        <v>220</v>
      </c>
      <c r="L153" s="62">
        <f>RANK(5.71,M:M,0)</f>
        <v>152</v>
      </c>
      <c r="M153" s="287">
        <v>4.1500000000000004</v>
      </c>
      <c r="N153" s="284">
        <f>VLOOKUP(4105,季財報!A:N,8,0)</f>
        <v>3</v>
      </c>
    </row>
    <row r="154" spans="1:14">
      <c r="A154" s="184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197">
        <v>0.06</v>
      </c>
      <c r="I154">
        <f t="shared" ref="I154:I178" si="18">RANK(0.06,H:H,0)</f>
        <v>155</v>
      </c>
      <c r="J154" s="190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287">
        <v>4.1500000000000004</v>
      </c>
      <c r="N154" s="284">
        <f>VLOOKUP(9930,季財報!A:N,8,0)</f>
        <v>3</v>
      </c>
    </row>
    <row r="155" spans="1:14">
      <c r="A155" s="184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197">
        <v>0.06</v>
      </c>
      <c r="I155">
        <f t="shared" si="18"/>
        <v>155</v>
      </c>
      <c r="J155" s="190">
        <v>0.05</v>
      </c>
      <c r="K155">
        <f t="shared" si="19"/>
        <v>135</v>
      </c>
      <c r="L155" s="62">
        <f t="shared" si="20"/>
        <v>153</v>
      </c>
      <c r="M155" s="287">
        <v>4.1500000000000004</v>
      </c>
      <c r="N155" s="284">
        <f>VLOOKUP(9924,季財報!A:N,8,0)</f>
        <v>4</v>
      </c>
    </row>
    <row r="156" spans="1:14">
      <c r="A156" s="184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197">
        <v>0.06</v>
      </c>
      <c r="I156">
        <f t="shared" si="18"/>
        <v>155</v>
      </c>
      <c r="J156" s="190">
        <v>0.05</v>
      </c>
      <c r="K156">
        <f t="shared" si="19"/>
        <v>135</v>
      </c>
      <c r="L156" s="62">
        <f t="shared" si="20"/>
        <v>153</v>
      </c>
      <c r="M156" s="287">
        <v>4.1500000000000004</v>
      </c>
      <c r="N156" s="284">
        <f>VLOOKUP(8299,季財報!A:N,8,0)</f>
        <v>4</v>
      </c>
    </row>
    <row r="157" spans="1:14">
      <c r="A157" s="184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197">
        <v>0.06</v>
      </c>
      <c r="I157">
        <f t="shared" si="18"/>
        <v>155</v>
      </c>
      <c r="J157" s="190">
        <v>0.05</v>
      </c>
      <c r="K157">
        <f t="shared" si="19"/>
        <v>135</v>
      </c>
      <c r="L157" s="62">
        <f t="shared" si="20"/>
        <v>153</v>
      </c>
      <c r="M157" s="287">
        <v>4.1500000000000004</v>
      </c>
      <c r="N157" s="284">
        <f>VLOOKUP(8426,季財報!A:N,8,0)</f>
        <v>4</v>
      </c>
    </row>
    <row r="158" spans="1:14">
      <c r="A158" s="184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197">
        <v>0.06</v>
      </c>
      <c r="I158">
        <f t="shared" si="18"/>
        <v>155</v>
      </c>
      <c r="J158" s="190">
        <v>0.05</v>
      </c>
      <c r="K158">
        <f t="shared" si="19"/>
        <v>135</v>
      </c>
      <c r="L158" s="62">
        <f t="shared" si="20"/>
        <v>153</v>
      </c>
      <c r="M158" s="287">
        <v>4.1500000000000004</v>
      </c>
      <c r="N158" s="284">
        <f>VLOOKUP(8429,季財報!A:N,8,0)</f>
        <v>1</v>
      </c>
    </row>
    <row r="159" spans="1:14">
      <c r="A159" s="184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197">
        <v>0.06</v>
      </c>
      <c r="I159">
        <f t="shared" si="18"/>
        <v>155</v>
      </c>
      <c r="J159" s="190">
        <v>0.05</v>
      </c>
      <c r="K159">
        <f t="shared" si="19"/>
        <v>135</v>
      </c>
      <c r="L159" s="62">
        <f t="shared" si="20"/>
        <v>153</v>
      </c>
      <c r="M159" s="287">
        <v>4.1500000000000004</v>
      </c>
      <c r="N159" s="284">
        <f>VLOOKUP(8050,季財報!A:N,8,0)</f>
        <v>2</v>
      </c>
    </row>
    <row r="160" spans="1:14">
      <c r="A160" s="184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197">
        <v>0.06</v>
      </c>
      <c r="I160">
        <f t="shared" si="18"/>
        <v>155</v>
      </c>
      <c r="J160" s="190">
        <v>0.05</v>
      </c>
      <c r="K160">
        <f t="shared" si="19"/>
        <v>135</v>
      </c>
      <c r="L160" s="62">
        <f t="shared" si="20"/>
        <v>153</v>
      </c>
      <c r="M160" s="287">
        <v>4.1500000000000004</v>
      </c>
      <c r="N160" s="284">
        <f>VLOOKUP(6269,季財報!A:N,8,0)</f>
        <v>2</v>
      </c>
    </row>
    <row r="161" spans="1:14">
      <c r="A161" s="184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197">
        <v>0.06</v>
      </c>
      <c r="I161">
        <f t="shared" si="18"/>
        <v>155</v>
      </c>
      <c r="J161" s="190">
        <v>0.05</v>
      </c>
      <c r="K161">
        <f t="shared" si="19"/>
        <v>135</v>
      </c>
      <c r="L161" s="62">
        <f t="shared" si="20"/>
        <v>153</v>
      </c>
      <c r="M161" s="287">
        <v>4.1500000000000004</v>
      </c>
      <c r="N161" s="284">
        <f>VLOOKUP(5269,季財報!A:N,8,0)</f>
        <v>6</v>
      </c>
    </row>
    <row r="162" spans="1:14">
      <c r="A162" s="184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197">
        <v>0.06</v>
      </c>
      <c r="I162">
        <f t="shared" si="18"/>
        <v>155</v>
      </c>
      <c r="J162" s="190">
        <v>0.05</v>
      </c>
      <c r="K162">
        <f t="shared" si="19"/>
        <v>135</v>
      </c>
      <c r="L162" s="62">
        <f t="shared" si="20"/>
        <v>153</v>
      </c>
      <c r="M162" s="287">
        <v>4.1500000000000004</v>
      </c>
      <c r="N162" s="284">
        <f>VLOOKUP(5434,季財報!A:N,8,0)</f>
        <v>3</v>
      </c>
    </row>
    <row r="163" spans="1:14">
      <c r="A163" s="184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197">
        <v>0.06</v>
      </c>
      <c r="I163">
        <f t="shared" si="18"/>
        <v>155</v>
      </c>
      <c r="J163" s="190">
        <v>0.05</v>
      </c>
      <c r="K163">
        <f t="shared" si="19"/>
        <v>135</v>
      </c>
      <c r="L163" s="62">
        <f t="shared" si="20"/>
        <v>153</v>
      </c>
      <c r="M163" s="287">
        <v>4.1500000000000004</v>
      </c>
      <c r="N163" s="284">
        <f>VLOOKUP(5489,季財報!A:N,8,0)</f>
        <v>2</v>
      </c>
    </row>
    <row r="164" spans="1:14">
      <c r="A164" s="184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197">
        <v>0.06</v>
      </c>
      <c r="I164">
        <f t="shared" si="18"/>
        <v>155</v>
      </c>
      <c r="J164" s="190">
        <v>0.05</v>
      </c>
      <c r="K164">
        <f t="shared" si="19"/>
        <v>135</v>
      </c>
      <c r="L164" s="62">
        <f t="shared" si="20"/>
        <v>153</v>
      </c>
      <c r="M164" s="287">
        <v>4.1500000000000004</v>
      </c>
      <c r="N164" s="284">
        <f>VLOOKUP(4903,季財報!A:N,8,0)</f>
        <v>2</v>
      </c>
    </row>
    <row r="165" spans="1:14">
      <c r="A165" s="184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197">
        <v>0.06</v>
      </c>
      <c r="I165">
        <f t="shared" si="18"/>
        <v>155</v>
      </c>
      <c r="J165" s="190">
        <v>0.05</v>
      </c>
      <c r="K165">
        <f t="shared" si="19"/>
        <v>135</v>
      </c>
      <c r="L165" s="62">
        <f t="shared" si="20"/>
        <v>153</v>
      </c>
      <c r="M165" s="287">
        <v>4.1500000000000004</v>
      </c>
      <c r="N165" s="284">
        <f>VLOOKUP(4938,季財報!A:N,8,0)</f>
        <v>1</v>
      </c>
    </row>
    <row r="166" spans="1:14">
      <c r="A166" s="184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197">
        <v>0.06</v>
      </c>
      <c r="I166">
        <f t="shared" si="18"/>
        <v>155</v>
      </c>
      <c r="J166" s="190">
        <v>0.05</v>
      </c>
      <c r="K166">
        <f t="shared" si="19"/>
        <v>135</v>
      </c>
      <c r="L166" s="62">
        <f t="shared" si="20"/>
        <v>153</v>
      </c>
      <c r="M166" s="287">
        <v>4.1500000000000004</v>
      </c>
      <c r="N166" s="284">
        <f>VLOOKUP(4958,季財報!A:N,8,0)</f>
        <v>2</v>
      </c>
    </row>
    <row r="167" spans="1:14">
      <c r="A167" s="184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197">
        <v>0.06</v>
      </c>
      <c r="I167">
        <f t="shared" si="18"/>
        <v>155</v>
      </c>
      <c r="J167" s="190">
        <v>0.05</v>
      </c>
      <c r="K167">
        <f t="shared" si="19"/>
        <v>135</v>
      </c>
      <c r="L167" s="62">
        <f t="shared" si="20"/>
        <v>153</v>
      </c>
      <c r="M167" s="287">
        <v>4.1500000000000004</v>
      </c>
      <c r="N167" s="284">
        <f>VLOOKUP(1262,季財報!A:N,8,0)</f>
        <v>3</v>
      </c>
    </row>
    <row r="168" spans="1:14">
      <c r="A168" s="184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197">
        <v>0.06</v>
      </c>
      <c r="I168">
        <f t="shared" si="18"/>
        <v>155</v>
      </c>
      <c r="J168" s="190">
        <v>0.05</v>
      </c>
      <c r="K168">
        <f t="shared" si="19"/>
        <v>135</v>
      </c>
      <c r="L168" s="62">
        <f t="shared" si="20"/>
        <v>153</v>
      </c>
      <c r="M168" s="287">
        <v>4.1500000000000004</v>
      </c>
      <c r="N168" s="284">
        <f>VLOOKUP(2114,季財報!A:N,8,0)</f>
        <v>4</v>
      </c>
    </row>
    <row r="169" spans="1:14">
      <c r="A169" s="184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197">
        <v>0.06</v>
      </c>
      <c r="I169">
        <f t="shared" si="18"/>
        <v>155</v>
      </c>
      <c r="J169" s="190">
        <v>0.05</v>
      </c>
      <c r="K169">
        <f t="shared" si="19"/>
        <v>135</v>
      </c>
      <c r="L169" s="62">
        <f t="shared" si="20"/>
        <v>153</v>
      </c>
      <c r="M169" s="287">
        <v>4.1500000000000004</v>
      </c>
      <c r="N169" s="284">
        <f>VLOOKUP(2546,季財報!A:N,8,0)</f>
        <v>3</v>
      </c>
    </row>
    <row r="170" spans="1:14">
      <c r="A170" s="184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197">
        <v>0.06</v>
      </c>
      <c r="I170">
        <f t="shared" si="18"/>
        <v>155</v>
      </c>
      <c r="J170" s="190">
        <v>0.05</v>
      </c>
      <c r="K170">
        <f t="shared" si="19"/>
        <v>135</v>
      </c>
      <c r="L170" s="62">
        <f t="shared" si="20"/>
        <v>153</v>
      </c>
      <c r="M170" s="287">
        <v>4.1500000000000004</v>
      </c>
      <c r="N170" s="284">
        <f>VLOOKUP(3226,季財報!A:N,8,0)</f>
        <v>3</v>
      </c>
    </row>
    <row r="171" spans="1:14">
      <c r="A171" s="184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197">
        <v>0.06</v>
      </c>
      <c r="I171">
        <f t="shared" si="18"/>
        <v>155</v>
      </c>
      <c r="J171" s="190">
        <v>0.05</v>
      </c>
      <c r="K171">
        <f t="shared" si="19"/>
        <v>135</v>
      </c>
      <c r="L171" s="62">
        <f t="shared" si="20"/>
        <v>153</v>
      </c>
      <c r="M171" s="287">
        <v>4.1500000000000004</v>
      </c>
      <c r="N171" s="284">
        <f>VLOOKUP(3491,季財報!A:N,8,0)</f>
        <v>5</v>
      </c>
    </row>
    <row r="172" spans="1:14">
      <c r="A172" s="184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197">
        <v>0.06</v>
      </c>
      <c r="I172">
        <f t="shared" si="18"/>
        <v>155</v>
      </c>
      <c r="J172" s="190">
        <v>0.05</v>
      </c>
      <c r="K172">
        <f t="shared" si="19"/>
        <v>135</v>
      </c>
      <c r="L172" s="62">
        <f t="shared" si="20"/>
        <v>153</v>
      </c>
      <c r="M172" s="287">
        <v>4.1500000000000004</v>
      </c>
      <c r="N172" s="284">
        <f>VLOOKUP(3570,季財報!A:N,8,0)</f>
        <v>2</v>
      </c>
    </row>
    <row r="173" spans="1:14">
      <c r="A173" s="184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197">
        <v>0.06</v>
      </c>
      <c r="I173">
        <f t="shared" si="18"/>
        <v>155</v>
      </c>
      <c r="J173" s="190">
        <v>0.05</v>
      </c>
      <c r="K173">
        <f t="shared" si="19"/>
        <v>135</v>
      </c>
      <c r="L173" s="62">
        <f t="shared" si="20"/>
        <v>153</v>
      </c>
      <c r="M173" s="287">
        <v>4.1500000000000004</v>
      </c>
      <c r="N173" s="284">
        <f>VLOOKUP(3672,季財報!A:N,8,0)</f>
        <v>3</v>
      </c>
    </row>
    <row r="174" spans="1:14">
      <c r="A174" s="184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197">
        <v>0.06</v>
      </c>
      <c r="I174">
        <f t="shared" si="18"/>
        <v>155</v>
      </c>
      <c r="J174" s="190">
        <v>0.05</v>
      </c>
      <c r="K174">
        <f t="shared" si="19"/>
        <v>135</v>
      </c>
      <c r="L174" s="62">
        <f t="shared" si="20"/>
        <v>153</v>
      </c>
      <c r="M174" s="287">
        <v>4.1500000000000004</v>
      </c>
      <c r="N174" s="284">
        <f>VLOOKUP(6417,季財報!A:N,8,0)</f>
        <v>3</v>
      </c>
    </row>
    <row r="175" spans="1:14">
      <c r="A175" s="184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197">
        <v>0.06</v>
      </c>
      <c r="I175">
        <f t="shared" si="18"/>
        <v>155</v>
      </c>
      <c r="J175" s="190">
        <v>0.05</v>
      </c>
      <c r="K175">
        <f t="shared" si="19"/>
        <v>135</v>
      </c>
      <c r="L175" s="62">
        <f t="shared" si="20"/>
        <v>153</v>
      </c>
      <c r="M175" s="287">
        <v>4.1500000000000004</v>
      </c>
      <c r="N175" s="284">
        <f>VLOOKUP(5443,季財報!A:N,8,0)</f>
        <v>4</v>
      </c>
    </row>
    <row r="176" spans="1:14">
      <c r="A176" s="184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197">
        <v>0.06</v>
      </c>
      <c r="I176">
        <f t="shared" si="18"/>
        <v>155</v>
      </c>
      <c r="J176" s="190">
        <v>0.05</v>
      </c>
      <c r="K176">
        <f t="shared" si="19"/>
        <v>135</v>
      </c>
      <c r="L176" s="62">
        <f t="shared" si="20"/>
        <v>153</v>
      </c>
      <c r="M176" s="287">
        <v>4.1500000000000004</v>
      </c>
      <c r="N176" s="284">
        <f>VLOOKUP(1264,季財報!A:N,8,0)</f>
        <v>2</v>
      </c>
    </row>
    <row r="177" spans="1:14">
      <c r="A177" s="184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197">
        <v>0.06</v>
      </c>
      <c r="I177">
        <f t="shared" si="18"/>
        <v>155</v>
      </c>
      <c r="J177" s="190">
        <v>0.05</v>
      </c>
      <c r="K177">
        <f t="shared" si="19"/>
        <v>135</v>
      </c>
      <c r="L177" s="62">
        <f t="shared" si="20"/>
        <v>153</v>
      </c>
      <c r="M177" s="287">
        <v>4.1500000000000004</v>
      </c>
      <c r="N177" s="284">
        <f>VLOOKUP(1521,季財報!A:N,8,0)</f>
        <v>2</v>
      </c>
    </row>
    <row r="178" spans="1:14">
      <c r="A178" s="184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197">
        <v>0.06</v>
      </c>
      <c r="I178">
        <f t="shared" si="18"/>
        <v>155</v>
      </c>
      <c r="J178" s="190">
        <v>0.05</v>
      </c>
      <c r="K178">
        <f t="shared" si="19"/>
        <v>135</v>
      </c>
      <c r="L178" s="62">
        <f t="shared" si="20"/>
        <v>153</v>
      </c>
      <c r="M178" s="287">
        <v>4.1500000000000004</v>
      </c>
      <c r="N178" s="284">
        <f>VLOOKUP(3105,季財報!A:N,8,0)</f>
        <v>4</v>
      </c>
    </row>
    <row r="179" spans="1:14">
      <c r="A179" s="184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197">
        <v>0.08</v>
      </c>
      <c r="I179">
        <f>RANK(0.08,H:H,0)</f>
        <v>80</v>
      </c>
      <c r="J179" s="190">
        <v>0.04</v>
      </c>
      <c r="K179">
        <f>RANK(0.04,J:J,0)</f>
        <v>220</v>
      </c>
      <c r="L179" s="62">
        <f>RANK(5.06,M:M,0)</f>
        <v>178</v>
      </c>
      <c r="M179" s="287">
        <v>4.05</v>
      </c>
      <c r="N179" s="284">
        <f>VLOOKUP(9943,季財報!A:N,8,0)</f>
        <v>2</v>
      </c>
    </row>
    <row r="180" spans="1:14">
      <c r="A180" s="184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197">
        <v>0.05</v>
      </c>
      <c r="I180">
        <f>RANK(0.05,H:H,0)</f>
        <v>231</v>
      </c>
      <c r="J180" s="190">
        <v>0.06</v>
      </c>
      <c r="K180">
        <f>RANK(0.06,J:J,0)</f>
        <v>84</v>
      </c>
      <c r="L180" s="62">
        <f>RANK(4.82,M:M,0)</f>
        <v>179</v>
      </c>
      <c r="M180" s="287">
        <v>4.05</v>
      </c>
      <c r="N180" s="284">
        <f>VLOOKUP(4991,季財報!A:N,8,0)</f>
        <v>4</v>
      </c>
    </row>
    <row r="181" spans="1:14">
      <c r="A181" s="184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197">
        <v>0.05</v>
      </c>
      <c r="I181">
        <f>RANK(0.05,H:H,0)</f>
        <v>231</v>
      </c>
      <c r="J181" s="190">
        <v>0.06</v>
      </c>
      <c r="K181">
        <f>RANK(0.06,J:J,0)</f>
        <v>84</v>
      </c>
      <c r="L181" s="62">
        <f>RANK(4.82,M:M,0)</f>
        <v>179</v>
      </c>
      <c r="M181" s="287">
        <v>4.05</v>
      </c>
      <c r="N181" s="284">
        <f>VLOOKUP(2726,季財報!A:N,8,0)</f>
        <v>5</v>
      </c>
    </row>
    <row r="182" spans="1:14">
      <c r="A182" s="184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197">
        <v>7.0000000000000007E-2</v>
      </c>
      <c r="I182">
        <f t="shared" ref="I182:I189" si="21">RANK(0.07,H:H,0)</f>
        <v>107</v>
      </c>
      <c r="J182" s="190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287">
        <v>4.05</v>
      </c>
      <c r="N182" s="284">
        <f>VLOOKUP(9921,季財報!A:N,8,0)</f>
        <v>3</v>
      </c>
    </row>
    <row r="183" spans="1:14">
      <c r="A183" s="184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197">
        <v>7.0000000000000007E-2</v>
      </c>
      <c r="I183">
        <f t="shared" si="21"/>
        <v>107</v>
      </c>
      <c r="J183" s="190">
        <v>0.04</v>
      </c>
      <c r="K183">
        <f t="shared" si="22"/>
        <v>220</v>
      </c>
      <c r="L183" s="62">
        <f t="shared" si="23"/>
        <v>181</v>
      </c>
      <c r="M183" s="287">
        <v>4.05</v>
      </c>
      <c r="N183" s="284">
        <f>VLOOKUP(8406,季財報!A:N,8,0)</f>
        <v>1</v>
      </c>
    </row>
    <row r="184" spans="1:14">
      <c r="A184" s="184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197">
        <v>7.0000000000000007E-2</v>
      </c>
      <c r="I184">
        <f t="shared" si="21"/>
        <v>107</v>
      </c>
      <c r="J184" s="190">
        <v>0.04</v>
      </c>
      <c r="K184">
        <f t="shared" si="22"/>
        <v>220</v>
      </c>
      <c r="L184" s="62">
        <f t="shared" si="23"/>
        <v>181</v>
      </c>
      <c r="M184" s="287">
        <v>4.05</v>
      </c>
      <c r="N184" s="284">
        <f>VLOOKUP(4915,季財報!A:N,8,0)</f>
        <v>5</v>
      </c>
    </row>
    <row r="185" spans="1:14">
      <c r="A185" s="184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197">
        <v>7.0000000000000007E-2</v>
      </c>
      <c r="I185">
        <f t="shared" si="21"/>
        <v>107</v>
      </c>
      <c r="J185" s="190">
        <v>0.04</v>
      </c>
      <c r="K185">
        <f t="shared" si="22"/>
        <v>220</v>
      </c>
      <c r="L185" s="62">
        <f t="shared" si="23"/>
        <v>181</v>
      </c>
      <c r="M185" s="287">
        <v>4.05</v>
      </c>
      <c r="N185" s="284">
        <f>VLOOKUP(1215,季財報!A:N,8,0)</f>
        <v>3</v>
      </c>
    </row>
    <row r="186" spans="1:14">
      <c r="A186" s="184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197">
        <v>7.0000000000000007E-2</v>
      </c>
      <c r="I186">
        <f t="shared" si="21"/>
        <v>107</v>
      </c>
      <c r="J186" s="190">
        <v>0.04</v>
      </c>
      <c r="K186">
        <f t="shared" si="22"/>
        <v>220</v>
      </c>
      <c r="L186" s="62">
        <f t="shared" si="23"/>
        <v>181</v>
      </c>
      <c r="M186" s="287">
        <v>4.05</v>
      </c>
      <c r="N186" s="284">
        <f>VLOOKUP(2385,季財報!A:N,8,0)</f>
        <v>1</v>
      </c>
    </row>
    <row r="187" spans="1:14">
      <c r="A187" s="184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197">
        <v>7.0000000000000007E-2</v>
      </c>
      <c r="I187">
        <f t="shared" si="21"/>
        <v>107</v>
      </c>
      <c r="J187" s="190">
        <v>0.04</v>
      </c>
      <c r="K187">
        <f t="shared" si="22"/>
        <v>220</v>
      </c>
      <c r="L187" s="62">
        <f t="shared" si="23"/>
        <v>181</v>
      </c>
      <c r="M187" s="287">
        <v>3.67</v>
      </c>
      <c r="N187" s="284">
        <f>VLOOKUP(3023,季財報!A:N,8,0)</f>
        <v>3</v>
      </c>
    </row>
    <row r="188" spans="1:14">
      <c r="A188" s="184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197">
        <v>7.0000000000000007E-2</v>
      </c>
      <c r="I188">
        <f t="shared" si="21"/>
        <v>107</v>
      </c>
      <c r="J188" s="190">
        <v>0.04</v>
      </c>
      <c r="K188">
        <f t="shared" si="22"/>
        <v>220</v>
      </c>
      <c r="L188" s="62">
        <f t="shared" si="23"/>
        <v>181</v>
      </c>
      <c r="M188" s="287">
        <v>3.67</v>
      </c>
      <c r="N188" s="284">
        <f>VLOOKUP(3048,季財報!A:N,8,0)</f>
        <v>2</v>
      </c>
    </row>
    <row r="189" spans="1:14">
      <c r="A189" s="184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197">
        <v>7.0000000000000007E-2</v>
      </c>
      <c r="I189">
        <f t="shared" si="21"/>
        <v>107</v>
      </c>
      <c r="J189" s="190">
        <v>0.04</v>
      </c>
      <c r="K189">
        <f t="shared" si="22"/>
        <v>220</v>
      </c>
      <c r="L189" s="62">
        <f t="shared" si="23"/>
        <v>181</v>
      </c>
      <c r="M189" s="287">
        <v>3.44</v>
      </c>
      <c r="N189" s="284">
        <f>VLOOKUP(8109,季財報!A:N,8,0)</f>
        <v>5</v>
      </c>
    </row>
    <row r="190" spans="1:14">
      <c r="A190" s="184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197">
        <v>0.59</v>
      </c>
      <c r="I190">
        <f>RANK(0.59,H:H,0)</f>
        <v>2</v>
      </c>
      <c r="J190" s="190">
        <v>0.03</v>
      </c>
      <c r="K190">
        <f>RANK(0.03,J:J,0)</f>
        <v>334</v>
      </c>
      <c r="L190" s="62">
        <f>RANK(4.52,M:M,0)</f>
        <v>189</v>
      </c>
      <c r="M190" s="287">
        <v>3.37</v>
      </c>
      <c r="N190" s="284">
        <f>VLOOKUP(4141,季財報!A:N,8,0)</f>
        <v>1</v>
      </c>
    </row>
    <row r="191" spans="1:14">
      <c r="A191" s="184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197">
        <v>0.05</v>
      </c>
      <c r="I191">
        <f t="shared" ref="I191:I220" si="24">RANK(0.05,H:H,0)</f>
        <v>231</v>
      </c>
      <c r="J191" s="190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287">
        <v>3.37</v>
      </c>
      <c r="N191" s="284">
        <f>VLOOKUP(8435,季財報!A:N,8,0)</f>
        <v>2</v>
      </c>
    </row>
    <row r="192" spans="1:14">
      <c r="A192" s="184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197">
        <v>0.05</v>
      </c>
      <c r="I192">
        <f t="shared" si="24"/>
        <v>231</v>
      </c>
      <c r="J192" s="190">
        <v>0.05</v>
      </c>
      <c r="K192">
        <f t="shared" si="25"/>
        <v>135</v>
      </c>
      <c r="L192" s="62">
        <f t="shared" si="26"/>
        <v>190</v>
      </c>
      <c r="M192" s="287">
        <v>3.37</v>
      </c>
      <c r="N192" s="284">
        <f>VLOOKUP(8416,季財報!A:N,8,0)</f>
        <v>1</v>
      </c>
    </row>
    <row r="193" spans="1:14">
      <c r="A193" s="184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197">
        <v>0.05</v>
      </c>
      <c r="I193">
        <f t="shared" si="24"/>
        <v>231</v>
      </c>
      <c r="J193" s="190">
        <v>0.05</v>
      </c>
      <c r="K193">
        <f t="shared" si="25"/>
        <v>135</v>
      </c>
      <c r="L193" s="62">
        <f t="shared" si="26"/>
        <v>190</v>
      </c>
      <c r="M193" s="287">
        <v>3.37</v>
      </c>
      <c r="N193" s="284">
        <f>VLOOKUP(6245,季財報!A:N,8,0)</f>
        <v>2</v>
      </c>
    </row>
    <row r="194" spans="1:14">
      <c r="A194" s="184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197">
        <v>0.05</v>
      </c>
      <c r="I194">
        <f t="shared" si="24"/>
        <v>231</v>
      </c>
      <c r="J194" s="190">
        <v>0.05</v>
      </c>
      <c r="K194">
        <f t="shared" si="25"/>
        <v>135</v>
      </c>
      <c r="L194" s="62">
        <f t="shared" si="26"/>
        <v>190</v>
      </c>
      <c r="M194" s="287">
        <v>3.37</v>
      </c>
      <c r="N194" s="284">
        <f>VLOOKUP(6274,季財報!A:N,8,0)</f>
        <v>3</v>
      </c>
    </row>
    <row r="195" spans="1:14">
      <c r="A195" s="184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197">
        <v>0.05</v>
      </c>
      <c r="I195">
        <f t="shared" si="24"/>
        <v>231</v>
      </c>
      <c r="J195" s="190">
        <v>0.05</v>
      </c>
      <c r="K195">
        <f t="shared" si="25"/>
        <v>135</v>
      </c>
      <c r="L195" s="62">
        <f t="shared" si="26"/>
        <v>190</v>
      </c>
      <c r="M195" s="287">
        <v>3.37</v>
      </c>
      <c r="N195" s="284">
        <f>VLOOKUP(6281,季財報!A:N,8,0)</f>
        <v>0</v>
      </c>
    </row>
    <row r="196" spans="1:14">
      <c r="A196" s="184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197">
        <v>0.05</v>
      </c>
      <c r="I196">
        <f t="shared" si="24"/>
        <v>231</v>
      </c>
      <c r="J196" s="190">
        <v>0.05</v>
      </c>
      <c r="K196">
        <f t="shared" si="25"/>
        <v>135</v>
      </c>
      <c r="L196" s="62">
        <f t="shared" si="26"/>
        <v>190</v>
      </c>
      <c r="M196" s="287">
        <v>3.37</v>
      </c>
      <c r="N196" s="284">
        <f>VLOOKUP(6217,季財報!A:N,8,0)</f>
        <v>5</v>
      </c>
    </row>
    <row r="197" spans="1:14">
      <c r="A197" s="184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197">
        <v>0.05</v>
      </c>
      <c r="I197">
        <f t="shared" si="24"/>
        <v>231</v>
      </c>
      <c r="J197" s="190">
        <v>0.05</v>
      </c>
      <c r="K197">
        <f t="shared" si="25"/>
        <v>135</v>
      </c>
      <c r="L197" s="62">
        <f t="shared" si="26"/>
        <v>190</v>
      </c>
      <c r="M197" s="287">
        <v>3.37</v>
      </c>
      <c r="N197" s="284">
        <f>VLOOKUP(5212,季財報!A:N,8,0)</f>
        <v>2</v>
      </c>
    </row>
    <row r="198" spans="1:14">
      <c r="A198" s="184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197">
        <v>0.05</v>
      </c>
      <c r="I198">
        <f t="shared" si="24"/>
        <v>231</v>
      </c>
      <c r="J198" s="190">
        <v>0.05</v>
      </c>
      <c r="K198">
        <f t="shared" si="25"/>
        <v>135</v>
      </c>
      <c r="L198" s="62">
        <f t="shared" si="26"/>
        <v>190</v>
      </c>
      <c r="M198" s="287">
        <v>3.37</v>
      </c>
      <c r="N198" s="284">
        <f>VLOOKUP(5490,季財報!A:N,8,0)</f>
        <v>3</v>
      </c>
    </row>
    <row r="199" spans="1:14">
      <c r="A199" s="184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197">
        <v>0.05</v>
      </c>
      <c r="I199">
        <f t="shared" si="24"/>
        <v>231</v>
      </c>
      <c r="J199" s="190">
        <v>0.05</v>
      </c>
      <c r="K199">
        <f t="shared" si="25"/>
        <v>135</v>
      </c>
      <c r="L199" s="62">
        <f t="shared" si="26"/>
        <v>190</v>
      </c>
      <c r="M199" s="287">
        <v>3.37</v>
      </c>
      <c r="N199" s="284">
        <f>VLOOKUP(4736,季財報!A:N,8,0)</f>
        <v>5</v>
      </c>
    </row>
    <row r="200" spans="1:14">
      <c r="A200" s="184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197">
        <v>0.05</v>
      </c>
      <c r="I200">
        <f t="shared" si="24"/>
        <v>231</v>
      </c>
      <c r="J200" s="190">
        <v>0.05</v>
      </c>
      <c r="K200">
        <f t="shared" si="25"/>
        <v>135</v>
      </c>
      <c r="L200" s="62">
        <f t="shared" si="26"/>
        <v>190</v>
      </c>
      <c r="M200" s="287">
        <v>3.37</v>
      </c>
      <c r="N200" s="284">
        <f>VLOOKUP(4919,季財報!A:N,8,0)</f>
        <v>1</v>
      </c>
    </row>
    <row r="201" spans="1:14">
      <c r="A201" s="184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197">
        <v>0.05</v>
      </c>
      <c r="I201">
        <f t="shared" si="24"/>
        <v>231</v>
      </c>
      <c r="J201" s="190">
        <v>0.05</v>
      </c>
      <c r="K201">
        <f t="shared" si="25"/>
        <v>135</v>
      </c>
      <c r="L201" s="62">
        <f t="shared" si="26"/>
        <v>190</v>
      </c>
      <c r="M201" s="287">
        <v>3.37</v>
      </c>
      <c r="N201" s="284">
        <f>VLOOKUP(4971,季財報!A:N,8,0)</f>
        <v>1</v>
      </c>
    </row>
    <row r="202" spans="1:14">
      <c r="A202" s="184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197">
        <v>0.05</v>
      </c>
      <c r="I202">
        <f t="shared" si="24"/>
        <v>231</v>
      </c>
      <c r="J202" s="190">
        <v>0.05</v>
      </c>
      <c r="K202">
        <f t="shared" si="25"/>
        <v>135</v>
      </c>
      <c r="L202" s="62">
        <f t="shared" si="26"/>
        <v>190</v>
      </c>
      <c r="M202" s="287">
        <v>3.37</v>
      </c>
      <c r="N202" s="284">
        <f>VLOOKUP(1777,季財報!A:N,8,0)</f>
        <v>5</v>
      </c>
    </row>
    <row r="203" spans="1:14">
      <c r="A203" s="184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197">
        <v>0.05</v>
      </c>
      <c r="I203">
        <f t="shared" si="24"/>
        <v>231</v>
      </c>
      <c r="J203" s="190">
        <v>0.05</v>
      </c>
      <c r="K203">
        <f t="shared" si="25"/>
        <v>135</v>
      </c>
      <c r="L203" s="62">
        <f t="shared" si="26"/>
        <v>190</v>
      </c>
      <c r="M203" s="287">
        <v>3.37</v>
      </c>
      <c r="N203" s="284">
        <f>VLOOKUP(2377,季財報!A:N,8,0)</f>
        <v>5</v>
      </c>
    </row>
    <row r="204" spans="1:14">
      <c r="A204" s="184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197">
        <v>0.05</v>
      </c>
      <c r="I204">
        <f t="shared" si="24"/>
        <v>231</v>
      </c>
      <c r="J204" s="190">
        <v>0.05</v>
      </c>
      <c r="K204">
        <f t="shared" si="25"/>
        <v>135</v>
      </c>
      <c r="L204" s="62">
        <f t="shared" si="26"/>
        <v>190</v>
      </c>
      <c r="M204" s="287">
        <v>3.37</v>
      </c>
      <c r="N204" s="284">
        <f>VLOOKUP(2428,季財報!A:N,8,0)</f>
        <v>3</v>
      </c>
    </row>
    <row r="205" spans="1:14">
      <c r="A205" s="184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197">
        <v>0.05</v>
      </c>
      <c r="I205">
        <f t="shared" si="24"/>
        <v>231</v>
      </c>
      <c r="J205" s="190">
        <v>0.05</v>
      </c>
      <c r="K205">
        <f t="shared" si="25"/>
        <v>135</v>
      </c>
      <c r="L205" s="62">
        <f t="shared" si="26"/>
        <v>190</v>
      </c>
      <c r="M205" s="287">
        <v>3.37</v>
      </c>
      <c r="N205" s="284">
        <f>VLOOKUP(2464,季財報!A:N,8,0)</f>
        <v>3</v>
      </c>
    </row>
    <row r="206" spans="1:14">
      <c r="A206" s="184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197">
        <v>0.05</v>
      </c>
      <c r="I206">
        <f t="shared" si="24"/>
        <v>231</v>
      </c>
      <c r="J206" s="190">
        <v>0.05</v>
      </c>
      <c r="K206">
        <f t="shared" si="25"/>
        <v>135</v>
      </c>
      <c r="L206" s="62">
        <f t="shared" si="26"/>
        <v>190</v>
      </c>
      <c r="M206" s="287">
        <v>3.37</v>
      </c>
      <c r="N206" s="284">
        <f>VLOOKUP(2488,季財報!A:N,8,0)</f>
        <v>4</v>
      </c>
    </row>
    <row r="207" spans="1:14">
      <c r="A207" s="184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197">
        <v>0.05</v>
      </c>
      <c r="I207">
        <f t="shared" si="24"/>
        <v>231</v>
      </c>
      <c r="J207" s="190">
        <v>0.05</v>
      </c>
      <c r="K207">
        <f t="shared" si="25"/>
        <v>135</v>
      </c>
      <c r="L207" s="62">
        <f t="shared" si="26"/>
        <v>190</v>
      </c>
      <c r="M207" s="287">
        <v>3.37</v>
      </c>
      <c r="N207" s="284">
        <f>VLOOKUP(2493,季財報!A:N,8,0)</f>
        <v>3</v>
      </c>
    </row>
    <row r="208" spans="1:14">
      <c r="A208" s="184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197">
        <v>0.05</v>
      </c>
      <c r="I208">
        <f t="shared" si="24"/>
        <v>231</v>
      </c>
      <c r="J208" s="190">
        <v>0.05</v>
      </c>
      <c r="K208">
        <f t="shared" si="25"/>
        <v>135</v>
      </c>
      <c r="L208" s="62">
        <f t="shared" si="26"/>
        <v>190</v>
      </c>
      <c r="M208" s="287">
        <v>3.37</v>
      </c>
      <c r="N208" s="284">
        <f>VLOOKUP(2729,季財報!A:N,8,0)</f>
        <v>2</v>
      </c>
    </row>
    <row r="209" spans="1:14">
      <c r="A209" s="184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197">
        <v>0.05</v>
      </c>
      <c r="I209">
        <f t="shared" si="24"/>
        <v>231</v>
      </c>
      <c r="J209" s="190">
        <v>0.05</v>
      </c>
      <c r="K209">
        <f t="shared" si="25"/>
        <v>135</v>
      </c>
      <c r="L209" s="62">
        <f t="shared" si="26"/>
        <v>190</v>
      </c>
      <c r="M209" s="287">
        <v>3.37</v>
      </c>
      <c r="N209" s="284">
        <f>VLOOKUP(3213,季財報!A:N,8,0)</f>
        <v>2</v>
      </c>
    </row>
    <row r="210" spans="1:14">
      <c r="A210" s="184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197">
        <v>0.05</v>
      </c>
      <c r="I210">
        <f t="shared" si="24"/>
        <v>231</v>
      </c>
      <c r="J210" s="190">
        <v>0.05</v>
      </c>
      <c r="K210">
        <f t="shared" si="25"/>
        <v>135</v>
      </c>
      <c r="L210" s="62">
        <f t="shared" si="26"/>
        <v>190</v>
      </c>
      <c r="M210" s="287">
        <v>3.37</v>
      </c>
      <c r="N210" s="284">
        <f>VLOOKUP(3272,季財報!A:N,8,0)</f>
        <v>3</v>
      </c>
    </row>
    <row r="211" spans="1:14">
      <c r="A211" s="184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197">
        <v>0.05</v>
      </c>
      <c r="I211">
        <f t="shared" si="24"/>
        <v>231</v>
      </c>
      <c r="J211" s="190">
        <v>0.05</v>
      </c>
      <c r="K211">
        <f t="shared" si="25"/>
        <v>135</v>
      </c>
      <c r="L211" s="62">
        <f t="shared" si="26"/>
        <v>190</v>
      </c>
      <c r="M211" s="287">
        <v>3.37</v>
      </c>
      <c r="N211" s="284">
        <f>VLOOKUP(3454,季財報!A:N,8,0)</f>
        <v>2</v>
      </c>
    </row>
    <row r="212" spans="1:14">
      <c r="A212" s="184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197">
        <v>0.05</v>
      </c>
      <c r="I212">
        <f t="shared" si="24"/>
        <v>231</v>
      </c>
      <c r="J212" s="190">
        <v>0.05</v>
      </c>
      <c r="K212">
        <f t="shared" si="25"/>
        <v>135</v>
      </c>
      <c r="L212" s="62">
        <f t="shared" si="26"/>
        <v>190</v>
      </c>
      <c r="M212" s="287">
        <v>3.27</v>
      </c>
      <c r="N212" s="284">
        <f>VLOOKUP(3490,季財報!A:N,8,0)</f>
        <v>1</v>
      </c>
    </row>
    <row r="213" spans="1:14">
      <c r="A213" s="184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197">
        <v>0.05</v>
      </c>
      <c r="I213">
        <f t="shared" si="24"/>
        <v>231</v>
      </c>
      <c r="J213" s="190">
        <v>0.05</v>
      </c>
      <c r="K213">
        <f t="shared" si="25"/>
        <v>135</v>
      </c>
      <c r="L213" s="62">
        <f t="shared" si="26"/>
        <v>190</v>
      </c>
      <c r="M213" s="287">
        <v>3.27</v>
      </c>
      <c r="N213" s="284">
        <f>VLOOKUP(3541,季財報!A:N,8,0)</f>
        <v>3</v>
      </c>
    </row>
    <row r="214" spans="1:14">
      <c r="A214" s="184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197">
        <v>0.05</v>
      </c>
      <c r="I214">
        <f t="shared" si="24"/>
        <v>231</v>
      </c>
      <c r="J214" s="190">
        <v>0.05</v>
      </c>
      <c r="K214">
        <f t="shared" si="25"/>
        <v>135</v>
      </c>
      <c r="L214" s="62">
        <f t="shared" si="26"/>
        <v>190</v>
      </c>
      <c r="M214" s="287">
        <v>3.27</v>
      </c>
      <c r="N214" s="284">
        <f>VLOOKUP(3559,季財報!A:N,8,0)</f>
        <v>3</v>
      </c>
    </row>
    <row r="215" spans="1:14">
      <c r="A215" s="184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197">
        <v>0.05</v>
      </c>
      <c r="I215">
        <f t="shared" si="24"/>
        <v>231</v>
      </c>
      <c r="J215" s="190">
        <v>0.05</v>
      </c>
      <c r="K215">
        <f t="shared" si="25"/>
        <v>135</v>
      </c>
      <c r="L215" s="62">
        <f t="shared" si="26"/>
        <v>190</v>
      </c>
      <c r="M215" s="287">
        <v>3.27</v>
      </c>
      <c r="N215" s="284">
        <f>VLOOKUP(3563,季財報!A:N,8,0)</f>
        <v>2</v>
      </c>
    </row>
    <row r="216" spans="1:14">
      <c r="A216" s="184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197">
        <v>0.05</v>
      </c>
      <c r="I216">
        <f t="shared" si="24"/>
        <v>231</v>
      </c>
      <c r="J216" s="190">
        <v>0.05</v>
      </c>
      <c r="K216">
        <f t="shared" si="25"/>
        <v>135</v>
      </c>
      <c r="L216" s="62">
        <f t="shared" si="26"/>
        <v>190</v>
      </c>
      <c r="M216" s="287">
        <v>3.27</v>
      </c>
      <c r="N216" s="284">
        <f>VLOOKUP(3632,季財報!A:N,8,0)</f>
        <v>4</v>
      </c>
    </row>
    <row r="217" spans="1:14">
      <c r="A217" s="184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197">
        <v>0.05</v>
      </c>
      <c r="I217">
        <f t="shared" si="24"/>
        <v>231</v>
      </c>
      <c r="J217" s="190">
        <v>0.05</v>
      </c>
      <c r="K217">
        <f t="shared" si="25"/>
        <v>135</v>
      </c>
      <c r="L217" s="62">
        <f t="shared" si="26"/>
        <v>190</v>
      </c>
      <c r="M217" s="287">
        <v>3.11</v>
      </c>
      <c r="N217" s="284">
        <f>VLOOKUP(4107,季財報!A:N,8,0)</f>
        <v>3</v>
      </c>
    </row>
    <row r="218" spans="1:14">
      <c r="A218" s="184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197">
        <v>0.05</v>
      </c>
      <c r="I218">
        <f t="shared" si="24"/>
        <v>231</v>
      </c>
      <c r="J218" s="190">
        <v>0.05</v>
      </c>
      <c r="K218">
        <f t="shared" si="25"/>
        <v>135</v>
      </c>
      <c r="L218" s="62">
        <f t="shared" si="26"/>
        <v>190</v>
      </c>
      <c r="M218" s="287">
        <v>3.11</v>
      </c>
      <c r="N218" s="284">
        <f>VLOOKUP(5425,季財報!A:N,8,0)</f>
        <v>3</v>
      </c>
    </row>
    <row r="219" spans="1:14">
      <c r="A219" s="184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197">
        <v>0.05</v>
      </c>
      <c r="I219">
        <f t="shared" si="24"/>
        <v>231</v>
      </c>
      <c r="J219" s="190">
        <v>0.05</v>
      </c>
      <c r="K219">
        <f t="shared" si="25"/>
        <v>135</v>
      </c>
      <c r="L219" s="62">
        <f t="shared" si="26"/>
        <v>190</v>
      </c>
      <c r="M219" s="287">
        <v>3.11</v>
      </c>
      <c r="N219" s="284">
        <f>VLOOKUP(4432,季財報!A:N,8,0)</f>
        <v>3</v>
      </c>
    </row>
    <row r="220" spans="1:14">
      <c r="A220" s="184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197">
        <v>0.05</v>
      </c>
      <c r="I220">
        <f t="shared" si="24"/>
        <v>231</v>
      </c>
      <c r="J220" s="190">
        <v>0.05</v>
      </c>
      <c r="K220">
        <f t="shared" si="25"/>
        <v>135</v>
      </c>
      <c r="L220" s="62">
        <f t="shared" si="26"/>
        <v>190</v>
      </c>
      <c r="M220" s="287">
        <v>3.11</v>
      </c>
      <c r="N220" s="284">
        <f>VLOOKUP(2406,季財報!A:N,8,0)</f>
        <v>5</v>
      </c>
    </row>
    <row r="221" spans="1:14">
      <c r="A221" s="184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197">
        <v>0.11</v>
      </c>
      <c r="I221">
        <f>RANK(0.11,H:H,0)</f>
        <v>38</v>
      </c>
      <c r="J221" s="190">
        <v>0.03</v>
      </c>
      <c r="K221">
        <f>RANK(0.03,J:J,0)</f>
        <v>334</v>
      </c>
      <c r="L221" s="62">
        <f>RANK(4.08,M:M,0)</f>
        <v>220</v>
      </c>
      <c r="M221" s="287">
        <v>3.11</v>
      </c>
      <c r="N221" s="284">
        <f>VLOOKUP(5905,季財報!A:N,8,0)</f>
        <v>2</v>
      </c>
    </row>
    <row r="222" spans="1:14">
      <c r="A222" s="184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197">
        <v>0.06</v>
      </c>
      <c r="I222">
        <f t="shared" ref="I222:I236" si="27">RANK(0.06,H:H,0)</f>
        <v>155</v>
      </c>
      <c r="J222" s="190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287">
        <v>2.76</v>
      </c>
      <c r="N222" s="284">
        <f>VLOOKUP(9938,季財報!A:N,8,0)</f>
        <v>3</v>
      </c>
    </row>
    <row r="223" spans="1:14">
      <c r="A223" s="184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197">
        <v>0.06</v>
      </c>
      <c r="I223">
        <f t="shared" si="27"/>
        <v>155</v>
      </c>
      <c r="J223" s="190">
        <v>0.04</v>
      </c>
      <c r="K223">
        <f t="shared" si="28"/>
        <v>220</v>
      </c>
      <c r="L223" s="62">
        <f t="shared" si="29"/>
        <v>221</v>
      </c>
      <c r="M223" s="287">
        <v>2.76</v>
      </c>
      <c r="N223" s="284">
        <f>VLOOKUP(6285,季財報!A:N,8,0)</f>
        <v>4</v>
      </c>
    </row>
    <row r="224" spans="1:14">
      <c r="A224" s="184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197">
        <v>0.06</v>
      </c>
      <c r="I224">
        <f t="shared" si="27"/>
        <v>155</v>
      </c>
      <c r="J224" s="190">
        <v>0.04</v>
      </c>
      <c r="K224">
        <f t="shared" si="28"/>
        <v>220</v>
      </c>
      <c r="L224" s="62">
        <f t="shared" si="29"/>
        <v>221</v>
      </c>
      <c r="M224" s="287">
        <v>2.76</v>
      </c>
      <c r="N224" s="284">
        <f>VLOOKUP(4163,季財報!A:N,8,0)</f>
        <v>3</v>
      </c>
    </row>
    <row r="225" spans="1:14">
      <c r="A225" s="184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197">
        <v>0.06</v>
      </c>
      <c r="I225">
        <f t="shared" si="27"/>
        <v>155</v>
      </c>
      <c r="J225" s="190">
        <v>0.04</v>
      </c>
      <c r="K225">
        <f t="shared" si="28"/>
        <v>220</v>
      </c>
      <c r="L225" s="62">
        <f t="shared" si="29"/>
        <v>221</v>
      </c>
      <c r="M225" s="287">
        <v>2.76</v>
      </c>
      <c r="N225" s="284">
        <f>VLOOKUP(4722,季財報!A:N,8,0)</f>
        <v>3</v>
      </c>
    </row>
    <row r="226" spans="1:14">
      <c r="A226" s="184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197">
        <v>0.06</v>
      </c>
      <c r="I226">
        <f t="shared" si="27"/>
        <v>155</v>
      </c>
      <c r="J226" s="190">
        <v>0.04</v>
      </c>
      <c r="K226">
        <f t="shared" si="28"/>
        <v>220</v>
      </c>
      <c r="L226" s="62">
        <f t="shared" si="29"/>
        <v>221</v>
      </c>
      <c r="M226" s="287">
        <v>2.76</v>
      </c>
      <c r="N226" s="284">
        <f>VLOOKUP(6176,季財報!A:N,8,0)</f>
        <v>3</v>
      </c>
    </row>
    <row r="227" spans="1:14">
      <c r="A227" s="184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197">
        <v>0.06</v>
      </c>
      <c r="I227">
        <f t="shared" si="27"/>
        <v>155</v>
      </c>
      <c r="J227" s="190">
        <v>0.04</v>
      </c>
      <c r="K227">
        <f t="shared" si="28"/>
        <v>220</v>
      </c>
      <c r="L227" s="62">
        <f t="shared" si="29"/>
        <v>221</v>
      </c>
      <c r="M227" s="287">
        <v>2.76</v>
      </c>
      <c r="N227" s="284">
        <f>VLOOKUP(1730,季財報!A:N,8,0)</f>
        <v>6</v>
      </c>
    </row>
    <row r="228" spans="1:14">
      <c r="A228" s="184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197">
        <v>0.06</v>
      </c>
      <c r="I228">
        <f t="shared" si="27"/>
        <v>155</v>
      </c>
      <c r="J228" s="190">
        <v>0.04</v>
      </c>
      <c r="K228">
        <f t="shared" si="28"/>
        <v>220</v>
      </c>
      <c r="L228" s="62">
        <f t="shared" si="29"/>
        <v>221</v>
      </c>
      <c r="M228" s="287">
        <v>2.76</v>
      </c>
      <c r="N228" s="284">
        <f>VLOOKUP(2408,季財報!A:N,8,0)</f>
        <v>2</v>
      </c>
    </row>
    <row r="229" spans="1:14">
      <c r="A229" s="184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197">
        <v>0.06</v>
      </c>
      <c r="I229">
        <f t="shared" si="27"/>
        <v>155</v>
      </c>
      <c r="J229" s="190">
        <v>0.04</v>
      </c>
      <c r="K229">
        <f t="shared" si="28"/>
        <v>220</v>
      </c>
      <c r="L229" s="62">
        <f t="shared" si="29"/>
        <v>221</v>
      </c>
      <c r="M229" s="287">
        <v>2.76</v>
      </c>
      <c r="N229" s="284">
        <f>VLOOKUP(2731,季財報!A:N,8,0)</f>
        <v>1</v>
      </c>
    </row>
    <row r="230" spans="1:14">
      <c r="A230" s="184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197">
        <v>0.06</v>
      </c>
      <c r="I230">
        <f t="shared" si="27"/>
        <v>155</v>
      </c>
      <c r="J230" s="190">
        <v>0.04</v>
      </c>
      <c r="K230">
        <f t="shared" si="28"/>
        <v>220</v>
      </c>
      <c r="L230" s="62">
        <f t="shared" si="29"/>
        <v>221</v>
      </c>
      <c r="M230" s="287">
        <v>2.76</v>
      </c>
      <c r="N230" s="284">
        <f>VLOOKUP(8424,季財報!A:N,8,0)</f>
        <v>1</v>
      </c>
    </row>
    <row r="231" spans="1:14">
      <c r="A231" s="184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197">
        <v>0.06</v>
      </c>
      <c r="I231">
        <f t="shared" si="27"/>
        <v>155</v>
      </c>
      <c r="J231" s="190">
        <v>0.04</v>
      </c>
      <c r="K231">
        <f t="shared" si="28"/>
        <v>220</v>
      </c>
      <c r="L231" s="62">
        <f t="shared" si="29"/>
        <v>221</v>
      </c>
      <c r="M231" s="287">
        <v>2.76</v>
      </c>
      <c r="N231" s="284">
        <f>VLOOKUP(6292,季財報!A:N,8,0)</f>
        <v>2</v>
      </c>
    </row>
    <row r="232" spans="1:14">
      <c r="A232" s="184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197">
        <v>0.06</v>
      </c>
      <c r="I232">
        <f t="shared" si="27"/>
        <v>155</v>
      </c>
      <c r="J232" s="190">
        <v>0.04</v>
      </c>
      <c r="K232">
        <f t="shared" si="28"/>
        <v>220</v>
      </c>
      <c r="L232" s="62">
        <f t="shared" si="29"/>
        <v>221</v>
      </c>
      <c r="M232" s="287">
        <v>2.76</v>
      </c>
      <c r="N232" s="284">
        <f>VLOOKUP(6189,季財報!A:N,8,0)</f>
        <v>4</v>
      </c>
    </row>
    <row r="233" spans="1:14">
      <c r="A233" s="184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197">
        <v>0.06</v>
      </c>
      <c r="I233">
        <f t="shared" si="27"/>
        <v>155</v>
      </c>
      <c r="J233" s="190">
        <v>0.04</v>
      </c>
      <c r="K233">
        <f t="shared" si="28"/>
        <v>220</v>
      </c>
      <c r="L233" s="62">
        <f t="shared" si="29"/>
        <v>221</v>
      </c>
      <c r="M233" s="287">
        <v>2.76</v>
      </c>
      <c r="N233" s="284">
        <f>VLOOKUP(5878,季財報!A:N,8,0)</f>
        <v>1</v>
      </c>
    </row>
    <row r="234" spans="1:14">
      <c r="A234" s="184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197">
        <v>0.06</v>
      </c>
      <c r="I234">
        <f t="shared" si="27"/>
        <v>155</v>
      </c>
      <c r="J234" s="190">
        <v>0.04</v>
      </c>
      <c r="K234">
        <f t="shared" si="28"/>
        <v>220</v>
      </c>
      <c r="L234" s="62">
        <f t="shared" si="29"/>
        <v>221</v>
      </c>
      <c r="M234" s="287">
        <v>2.76</v>
      </c>
      <c r="N234" s="284">
        <f>VLOOKUP(6220,季財報!A:N,8,0)</f>
        <v>5</v>
      </c>
    </row>
    <row r="235" spans="1:14">
      <c r="A235" s="184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197">
        <v>0.06</v>
      </c>
      <c r="I235">
        <f t="shared" si="27"/>
        <v>155</v>
      </c>
      <c r="J235" s="190">
        <v>0.04</v>
      </c>
      <c r="K235">
        <f t="shared" si="28"/>
        <v>220</v>
      </c>
      <c r="L235" s="62">
        <f t="shared" si="29"/>
        <v>221</v>
      </c>
      <c r="M235" s="287">
        <v>2.76</v>
      </c>
      <c r="N235" s="284">
        <f>VLOOKUP(4609,季財報!A:N,8,0)</f>
        <v>4</v>
      </c>
    </row>
    <row r="236" spans="1:14">
      <c r="A236" s="184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197">
        <v>0.06</v>
      </c>
      <c r="I236">
        <f t="shared" si="27"/>
        <v>155</v>
      </c>
      <c r="J236" s="190">
        <v>0.04</v>
      </c>
      <c r="K236">
        <f t="shared" si="28"/>
        <v>220</v>
      </c>
      <c r="L236" s="62">
        <f t="shared" si="29"/>
        <v>221</v>
      </c>
      <c r="M236" s="287">
        <v>2.76</v>
      </c>
      <c r="N236" s="284">
        <f>VLOOKUP(3512,季財報!A:N,8,0)</f>
        <v>4</v>
      </c>
    </row>
    <row r="237" spans="1:14">
      <c r="A237" s="184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197">
        <v>0.09</v>
      </c>
      <c r="I237">
        <f>RANK(0.09,H:H,0)</f>
        <v>63</v>
      </c>
      <c r="J237" s="190">
        <v>0.03</v>
      </c>
      <c r="K237">
        <f>RANK(0.03,J:J,0)</f>
        <v>334</v>
      </c>
      <c r="L237" s="62">
        <f>RANK(3.83,M:M,0)</f>
        <v>236</v>
      </c>
      <c r="M237" s="287">
        <v>2.76</v>
      </c>
      <c r="N237" s="284">
        <f>VLOOKUP(2640,季財報!A:N,8,0)</f>
        <v>0</v>
      </c>
    </row>
    <row r="238" spans="1:14">
      <c r="A238" s="184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197">
        <v>0.04</v>
      </c>
      <c r="I238">
        <f>RANK(0.04,H:H,0)</f>
        <v>330</v>
      </c>
      <c r="J238" s="190">
        <v>0.06</v>
      </c>
      <c r="K238">
        <f>RANK(0.06,J:J,0)</f>
        <v>84</v>
      </c>
      <c r="L238" s="62">
        <f>RANK(3.67,M:M,0)</f>
        <v>237</v>
      </c>
      <c r="M238" s="287">
        <v>2.76</v>
      </c>
      <c r="N238" s="284">
        <f>VLOOKUP(3558,季財報!A:N,8,0)</f>
        <v>6</v>
      </c>
    </row>
    <row r="239" spans="1:14">
      <c r="A239" s="184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197">
        <v>0.04</v>
      </c>
      <c r="I239">
        <f>RANK(0.04,H:H,0)</f>
        <v>330</v>
      </c>
      <c r="J239" s="190">
        <v>0.06</v>
      </c>
      <c r="K239">
        <f>RANK(0.06,J:J,0)</f>
        <v>84</v>
      </c>
      <c r="L239" s="62">
        <f>RANK(3.67,M:M,0)</f>
        <v>237</v>
      </c>
      <c r="M239" s="287">
        <v>2.76</v>
      </c>
      <c r="N239" s="284">
        <f>VLOOKUP(2313,季財報!A:N,8,0)</f>
        <v>6</v>
      </c>
    </row>
    <row r="240" spans="1:14">
      <c r="A240" s="184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197">
        <v>0.08</v>
      </c>
      <c r="I240">
        <f>RANK(0.08,H:H,0)</f>
        <v>80</v>
      </c>
      <c r="J240" s="190">
        <v>0.03</v>
      </c>
      <c r="K240">
        <f>RANK(0.03,J:J,0)</f>
        <v>334</v>
      </c>
      <c r="L240" s="62">
        <f>RANK(3.67,M:M,0)</f>
        <v>237</v>
      </c>
      <c r="M240" s="287">
        <v>2.76</v>
      </c>
      <c r="N240" s="284">
        <f>VLOOKUP(1723,季財報!A:N,8,0)</f>
        <v>1</v>
      </c>
    </row>
    <row r="241" spans="1:14">
      <c r="A241" s="184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197">
        <v>0.04</v>
      </c>
      <c r="I241">
        <f>RANK(0.04,H:H,0)</f>
        <v>330</v>
      </c>
      <c r="J241" s="190">
        <v>0.06</v>
      </c>
      <c r="K241">
        <f>RANK(0.06,J:J,0)</f>
        <v>84</v>
      </c>
      <c r="L241" s="62">
        <f>RANK(3.67,M:M,0)</f>
        <v>237</v>
      </c>
      <c r="M241" s="287">
        <v>2.76</v>
      </c>
      <c r="N241" s="284">
        <f>VLOOKUP(6195,季財報!A:N,8,0)</f>
        <v>0</v>
      </c>
    </row>
    <row r="242" spans="1:14">
      <c r="A242" s="184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197">
        <v>0.08</v>
      </c>
      <c r="I242">
        <f>RANK(0.08,H:H,0)</f>
        <v>80</v>
      </c>
      <c r="J242" s="190">
        <v>0.03</v>
      </c>
      <c r="K242">
        <f>RANK(0.03,J:J,0)</f>
        <v>334</v>
      </c>
      <c r="L242" s="62">
        <f>RANK(3.67,M:M,0)</f>
        <v>237</v>
      </c>
      <c r="M242" s="287">
        <v>2.76</v>
      </c>
      <c r="N242" s="284">
        <f>VLOOKUP(6412,季財報!A:N,8,0)</f>
        <v>1</v>
      </c>
    </row>
    <row r="243" spans="1:14">
      <c r="A243" s="184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197">
        <v>7.0000000000000007E-2</v>
      </c>
      <c r="I243">
        <f>RANK(0.07,H:H,0)</f>
        <v>107</v>
      </c>
      <c r="J243" s="190">
        <v>0.03</v>
      </c>
      <c r="K243">
        <f>RANK(0.03,J:J,0)</f>
        <v>334</v>
      </c>
      <c r="L243" s="62">
        <f>RANK(3.44,M:M,0)</f>
        <v>242</v>
      </c>
      <c r="M243" s="287">
        <v>2.76</v>
      </c>
      <c r="N243" s="284">
        <f>VLOOKUP(8403,季財報!A:N,8,0)</f>
        <v>1</v>
      </c>
    </row>
    <row r="244" spans="1:14">
      <c r="A244" s="184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197">
        <v>7.0000000000000007E-2</v>
      </c>
      <c r="I244">
        <f>RANK(0.07,H:H,0)</f>
        <v>107</v>
      </c>
      <c r="J244" s="190">
        <v>0.03</v>
      </c>
      <c r="K244">
        <f>RANK(0.03,J:J,0)</f>
        <v>334</v>
      </c>
      <c r="L244" s="62">
        <f>RANK(3.44,M:M,0)</f>
        <v>242</v>
      </c>
      <c r="M244" s="287">
        <v>2.76</v>
      </c>
      <c r="N244" s="284">
        <f>VLOOKUP(6107,季財報!A:N,8,0)</f>
        <v>1</v>
      </c>
    </row>
    <row r="245" spans="1:14">
      <c r="A245" s="184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197">
        <v>0.05</v>
      </c>
      <c r="I245">
        <f t="shared" ref="I245:I277" si="30">RANK(0.05,H:H,0)</f>
        <v>231</v>
      </c>
      <c r="J245" s="190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287">
        <v>2.76</v>
      </c>
      <c r="N245" s="284">
        <f>VLOOKUP(8454,季財報!A:N,8,0)</f>
        <v>2</v>
      </c>
    </row>
    <row r="246" spans="1:14">
      <c r="A246" s="184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197">
        <v>0.05</v>
      </c>
      <c r="I246">
        <f t="shared" si="30"/>
        <v>231</v>
      </c>
      <c r="J246" s="190">
        <v>0.04</v>
      </c>
      <c r="K246">
        <f t="shared" si="31"/>
        <v>220</v>
      </c>
      <c r="L246" s="62">
        <f t="shared" si="32"/>
        <v>244</v>
      </c>
      <c r="M246" s="287">
        <v>2.76</v>
      </c>
      <c r="N246" s="284">
        <f>VLOOKUP(8049,季財報!A:N,8,0)</f>
        <v>5</v>
      </c>
    </row>
    <row r="247" spans="1:14">
      <c r="A247" s="184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197">
        <v>0.05</v>
      </c>
      <c r="I247">
        <f t="shared" si="30"/>
        <v>231</v>
      </c>
      <c r="J247" s="190">
        <v>0.04</v>
      </c>
      <c r="K247">
        <f t="shared" si="31"/>
        <v>220</v>
      </c>
      <c r="L247" s="62">
        <f t="shared" si="32"/>
        <v>244</v>
      </c>
      <c r="M247" s="287">
        <v>2.76</v>
      </c>
      <c r="N247" s="284">
        <f>VLOOKUP(6488,季財報!A:N,8,0)</f>
        <v>2</v>
      </c>
    </row>
    <row r="248" spans="1:14">
      <c r="A248" s="184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197">
        <v>0.05</v>
      </c>
      <c r="I248">
        <f t="shared" si="30"/>
        <v>231</v>
      </c>
      <c r="J248" s="190">
        <v>0.04</v>
      </c>
      <c r="K248">
        <f t="shared" si="31"/>
        <v>220</v>
      </c>
      <c r="L248" s="62">
        <f t="shared" si="32"/>
        <v>244</v>
      </c>
      <c r="M248" s="287">
        <v>2.76</v>
      </c>
      <c r="N248" s="284">
        <f>VLOOKUP(8091,季財報!A:N,8,0)</f>
        <v>1</v>
      </c>
    </row>
    <row r="249" spans="1:14">
      <c r="A249" s="184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197">
        <v>0.05</v>
      </c>
      <c r="I249">
        <f t="shared" si="30"/>
        <v>231</v>
      </c>
      <c r="J249" s="190">
        <v>0.04</v>
      </c>
      <c r="K249">
        <f t="shared" si="31"/>
        <v>220</v>
      </c>
      <c r="L249" s="62">
        <f t="shared" si="32"/>
        <v>244</v>
      </c>
      <c r="M249" s="287">
        <v>2.76</v>
      </c>
      <c r="N249" s="284">
        <f>VLOOKUP(6121,季財報!A:N,8,0)</f>
        <v>2</v>
      </c>
    </row>
    <row r="250" spans="1:14">
      <c r="A250" s="184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197">
        <v>0.05</v>
      </c>
      <c r="I250">
        <f t="shared" si="30"/>
        <v>231</v>
      </c>
      <c r="J250" s="190">
        <v>0.04</v>
      </c>
      <c r="K250">
        <f t="shared" si="31"/>
        <v>220</v>
      </c>
      <c r="L250" s="62">
        <f t="shared" si="32"/>
        <v>244</v>
      </c>
      <c r="M250" s="287">
        <v>2.76</v>
      </c>
      <c r="N250" s="284">
        <f>VLOOKUP(6185,季財報!A:N,8,0)</f>
        <v>3</v>
      </c>
    </row>
    <row r="251" spans="1:14">
      <c r="A251" s="184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197">
        <v>0.05</v>
      </c>
      <c r="I251">
        <f t="shared" si="30"/>
        <v>231</v>
      </c>
      <c r="J251" s="190">
        <v>0.04</v>
      </c>
      <c r="K251">
        <f t="shared" si="31"/>
        <v>220</v>
      </c>
      <c r="L251" s="62">
        <f t="shared" si="32"/>
        <v>244</v>
      </c>
      <c r="M251" s="287">
        <v>2.76</v>
      </c>
      <c r="N251" s="284">
        <f>VLOOKUP(6213,季財報!A:N,8,0)</f>
        <v>4</v>
      </c>
    </row>
    <row r="252" spans="1:14">
      <c r="A252" s="184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197">
        <v>0.05</v>
      </c>
      <c r="I252">
        <f t="shared" si="30"/>
        <v>231</v>
      </c>
      <c r="J252" s="190">
        <v>0.04</v>
      </c>
      <c r="K252">
        <f t="shared" si="31"/>
        <v>220</v>
      </c>
      <c r="L252" s="62">
        <f t="shared" si="32"/>
        <v>244</v>
      </c>
      <c r="M252" s="287">
        <v>2.76</v>
      </c>
      <c r="N252" s="284">
        <f>VLOOKUP(5306,季財報!A:N,8,0)</f>
        <v>4</v>
      </c>
    </row>
    <row r="253" spans="1:14">
      <c r="A253" s="184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197">
        <v>0.05</v>
      </c>
      <c r="I253">
        <f t="shared" si="30"/>
        <v>231</v>
      </c>
      <c r="J253" s="190">
        <v>0.04</v>
      </c>
      <c r="K253">
        <f t="shared" si="31"/>
        <v>220</v>
      </c>
      <c r="L253" s="62">
        <f t="shared" si="32"/>
        <v>244</v>
      </c>
      <c r="M253" s="287">
        <v>2.76</v>
      </c>
      <c r="N253" s="284">
        <f>VLOOKUP(4417,季財報!A:N,8,0)</f>
        <v>3</v>
      </c>
    </row>
    <row r="254" spans="1:14">
      <c r="A254" s="184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197">
        <v>0.05</v>
      </c>
      <c r="I254">
        <f t="shared" si="30"/>
        <v>231</v>
      </c>
      <c r="J254" s="190">
        <v>0.04</v>
      </c>
      <c r="K254">
        <f t="shared" si="31"/>
        <v>220</v>
      </c>
      <c r="L254" s="62">
        <f t="shared" si="32"/>
        <v>244</v>
      </c>
      <c r="M254" s="287">
        <v>2.76</v>
      </c>
      <c r="N254" s="284">
        <f>VLOOKUP(4912,季財報!A:N,8,0)</f>
        <v>2</v>
      </c>
    </row>
    <row r="255" spans="1:14">
      <c r="A255" s="184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197">
        <v>0.05</v>
      </c>
      <c r="I255">
        <f t="shared" si="30"/>
        <v>231</v>
      </c>
      <c r="J255" s="190">
        <v>0.04</v>
      </c>
      <c r="K255">
        <f t="shared" si="31"/>
        <v>220</v>
      </c>
      <c r="L255" s="62">
        <f t="shared" si="32"/>
        <v>244</v>
      </c>
      <c r="M255" s="287">
        <v>2.76</v>
      </c>
      <c r="N255" s="284">
        <f>VLOOKUP(4935,季財報!A:N,8,0)</f>
        <v>6</v>
      </c>
    </row>
    <row r="256" spans="1:14">
      <c r="A256" s="184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197">
        <v>0.05</v>
      </c>
      <c r="I256">
        <f t="shared" si="30"/>
        <v>231</v>
      </c>
      <c r="J256" s="190">
        <v>0.04</v>
      </c>
      <c r="K256">
        <f t="shared" si="31"/>
        <v>220</v>
      </c>
      <c r="L256" s="62">
        <f t="shared" si="32"/>
        <v>244</v>
      </c>
      <c r="M256" s="287">
        <v>2.76</v>
      </c>
      <c r="N256" s="284">
        <f>VLOOKUP(4972,季財報!A:N,8,0)</f>
        <v>3</v>
      </c>
    </row>
    <row r="257" spans="1:14">
      <c r="A257" s="184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197">
        <v>0.05</v>
      </c>
      <c r="I257">
        <f t="shared" si="30"/>
        <v>231</v>
      </c>
      <c r="J257" s="190">
        <v>0.04</v>
      </c>
      <c r="K257">
        <f t="shared" si="31"/>
        <v>220</v>
      </c>
      <c r="L257" s="62">
        <f t="shared" si="32"/>
        <v>244</v>
      </c>
      <c r="M257" s="287">
        <v>2.76</v>
      </c>
      <c r="N257" s="284">
        <f>VLOOKUP(4999,季財報!A:N,8,0)</f>
        <v>4</v>
      </c>
    </row>
    <row r="258" spans="1:14">
      <c r="A258" s="184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197">
        <v>0.05</v>
      </c>
      <c r="I258">
        <f t="shared" si="30"/>
        <v>231</v>
      </c>
      <c r="J258" s="190">
        <v>0.04</v>
      </c>
      <c r="K258">
        <f t="shared" si="31"/>
        <v>220</v>
      </c>
      <c r="L258" s="62">
        <f t="shared" si="32"/>
        <v>244</v>
      </c>
      <c r="M258" s="287">
        <v>2.76</v>
      </c>
      <c r="N258" s="284">
        <f>VLOOKUP(5398,季財報!A:N,8,0)</f>
        <v>2</v>
      </c>
    </row>
    <row r="259" spans="1:14">
      <c r="A259" s="184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197">
        <v>0.05</v>
      </c>
      <c r="I259">
        <f t="shared" si="30"/>
        <v>231</v>
      </c>
      <c r="J259" s="190">
        <v>0.04</v>
      </c>
      <c r="K259">
        <f t="shared" si="31"/>
        <v>220</v>
      </c>
      <c r="L259" s="62">
        <f t="shared" si="32"/>
        <v>244</v>
      </c>
      <c r="M259" s="287">
        <v>2.76</v>
      </c>
      <c r="N259" s="284">
        <f>VLOOKUP(1340,季財報!A:N,8,0)</f>
        <v>2</v>
      </c>
    </row>
    <row r="260" spans="1:14">
      <c r="A260" s="184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197">
        <v>0.05</v>
      </c>
      <c r="I260">
        <f t="shared" si="30"/>
        <v>231</v>
      </c>
      <c r="J260" s="190">
        <v>0.04</v>
      </c>
      <c r="K260">
        <f t="shared" si="31"/>
        <v>220</v>
      </c>
      <c r="L260" s="62">
        <f t="shared" si="32"/>
        <v>244</v>
      </c>
      <c r="M260" s="287">
        <v>2.76</v>
      </c>
      <c r="N260" s="284">
        <f>VLOOKUP(1788,季財報!A:N,8,0)</f>
        <v>1</v>
      </c>
    </row>
    <row r="261" spans="1:14">
      <c r="A261" s="184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197">
        <v>0.05</v>
      </c>
      <c r="I261">
        <f t="shared" si="30"/>
        <v>231</v>
      </c>
      <c r="J261" s="190">
        <v>0.04</v>
      </c>
      <c r="K261">
        <f t="shared" si="31"/>
        <v>220</v>
      </c>
      <c r="L261" s="62">
        <f t="shared" si="32"/>
        <v>244</v>
      </c>
      <c r="M261" s="287">
        <v>2.76</v>
      </c>
      <c r="N261" s="284">
        <f>VLOOKUP(2331,季財報!A:N,8,0)</f>
        <v>4</v>
      </c>
    </row>
    <row r="262" spans="1:14">
      <c r="A262" s="184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197">
        <v>0.05</v>
      </c>
      <c r="I262">
        <f t="shared" si="30"/>
        <v>231</v>
      </c>
      <c r="J262" s="190">
        <v>0.04</v>
      </c>
      <c r="K262">
        <f t="shared" si="31"/>
        <v>220</v>
      </c>
      <c r="L262" s="62">
        <f t="shared" si="32"/>
        <v>244</v>
      </c>
      <c r="M262" s="287">
        <v>2.69</v>
      </c>
      <c r="N262" s="284">
        <f>VLOOKUP(2355,季財報!A:N,8,0)</f>
        <v>3</v>
      </c>
    </row>
    <row r="263" spans="1:14">
      <c r="A263" s="184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197">
        <v>0.05</v>
      </c>
      <c r="I263">
        <f t="shared" si="30"/>
        <v>231</v>
      </c>
      <c r="J263" s="190">
        <v>0.04</v>
      </c>
      <c r="K263">
        <f t="shared" si="31"/>
        <v>220</v>
      </c>
      <c r="L263" s="62">
        <f t="shared" si="32"/>
        <v>244</v>
      </c>
      <c r="M263" s="287">
        <v>2.69</v>
      </c>
      <c r="N263" s="284">
        <f>VLOOKUP(2412,季財報!A:N,8,0)</f>
        <v>3</v>
      </c>
    </row>
    <row r="264" spans="1:14">
      <c r="A264" s="184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197">
        <v>0.05</v>
      </c>
      <c r="I264">
        <f t="shared" si="30"/>
        <v>231</v>
      </c>
      <c r="J264" s="190">
        <v>0.04</v>
      </c>
      <c r="K264">
        <f t="shared" si="31"/>
        <v>220</v>
      </c>
      <c r="L264" s="62">
        <f t="shared" si="32"/>
        <v>244</v>
      </c>
      <c r="M264" s="287">
        <v>2.69</v>
      </c>
      <c r="N264" s="284">
        <f>VLOOKUP(2455,季財報!A:N,8,0)</f>
        <v>2</v>
      </c>
    </row>
    <row r="265" spans="1:14">
      <c r="A265" s="184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197">
        <v>0.05</v>
      </c>
      <c r="I265">
        <f t="shared" si="30"/>
        <v>231</v>
      </c>
      <c r="J265" s="190">
        <v>0.04</v>
      </c>
      <c r="K265">
        <f t="shared" si="31"/>
        <v>220</v>
      </c>
      <c r="L265" s="62">
        <f t="shared" si="32"/>
        <v>244</v>
      </c>
      <c r="M265" s="287">
        <v>2.69</v>
      </c>
      <c r="N265" s="284">
        <f>VLOOKUP(3299,季財報!A:N,8,0)</f>
        <v>2</v>
      </c>
    </row>
    <row r="266" spans="1:14">
      <c r="A266" s="184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197">
        <v>0.05</v>
      </c>
      <c r="I266">
        <f t="shared" si="30"/>
        <v>231</v>
      </c>
      <c r="J266" s="190">
        <v>0.04</v>
      </c>
      <c r="K266">
        <f t="shared" si="31"/>
        <v>220</v>
      </c>
      <c r="L266" s="62">
        <f t="shared" si="32"/>
        <v>244</v>
      </c>
      <c r="M266" s="287">
        <v>2.69</v>
      </c>
      <c r="N266" s="284">
        <f>VLOOKUP(3356,季財報!A:N,8,0)</f>
        <v>4</v>
      </c>
    </row>
    <row r="267" spans="1:14">
      <c r="A267" s="184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197">
        <v>0.05</v>
      </c>
      <c r="I267">
        <f t="shared" si="30"/>
        <v>231</v>
      </c>
      <c r="J267" s="190">
        <v>0.04</v>
      </c>
      <c r="K267">
        <f t="shared" si="31"/>
        <v>220</v>
      </c>
      <c r="L267" s="62">
        <f t="shared" si="32"/>
        <v>244</v>
      </c>
      <c r="M267" s="287">
        <v>2.69</v>
      </c>
      <c r="N267" s="284">
        <f>VLOOKUP(8249,季財報!A:N,8,0)</f>
        <v>4</v>
      </c>
    </row>
    <row r="268" spans="1:14">
      <c r="A268" s="184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197">
        <v>0.05</v>
      </c>
      <c r="I268">
        <f t="shared" si="30"/>
        <v>231</v>
      </c>
      <c r="J268" s="190">
        <v>0.04</v>
      </c>
      <c r="K268">
        <f t="shared" si="31"/>
        <v>220</v>
      </c>
      <c r="L268" s="62">
        <f t="shared" si="32"/>
        <v>244</v>
      </c>
      <c r="M268" s="287">
        <v>2.69</v>
      </c>
      <c r="N268" s="284">
        <f>VLOOKUP(8255,季財報!A:N,8,0)</f>
        <v>3</v>
      </c>
    </row>
    <row r="269" spans="1:14">
      <c r="A269" s="184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197">
        <v>0.05</v>
      </c>
      <c r="I269">
        <f t="shared" si="30"/>
        <v>231</v>
      </c>
      <c r="J269" s="190">
        <v>0.04</v>
      </c>
      <c r="K269">
        <f t="shared" si="31"/>
        <v>220</v>
      </c>
      <c r="L269" s="62">
        <f t="shared" si="32"/>
        <v>244</v>
      </c>
      <c r="M269" s="287">
        <v>2.69</v>
      </c>
      <c r="N269" s="284">
        <f>VLOOKUP(6432,季財報!A:N,8,0)</f>
        <v>6</v>
      </c>
    </row>
    <row r="270" spans="1:14">
      <c r="A270" s="184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197">
        <v>0.05</v>
      </c>
      <c r="I270">
        <f t="shared" si="30"/>
        <v>231</v>
      </c>
      <c r="J270" s="190">
        <v>0.04</v>
      </c>
      <c r="K270">
        <f t="shared" si="31"/>
        <v>220</v>
      </c>
      <c r="L270" s="62">
        <f t="shared" si="32"/>
        <v>244</v>
      </c>
      <c r="M270" s="287">
        <v>2.69</v>
      </c>
      <c r="N270" s="284">
        <f>VLOOKUP(8163,季財報!A:N,8,0)</f>
        <v>2</v>
      </c>
    </row>
    <row r="271" spans="1:14">
      <c r="A271" s="184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197">
        <v>0.05</v>
      </c>
      <c r="I271">
        <f t="shared" si="30"/>
        <v>231</v>
      </c>
      <c r="J271" s="190">
        <v>0.04</v>
      </c>
      <c r="K271">
        <f t="shared" si="31"/>
        <v>220</v>
      </c>
      <c r="L271" s="62">
        <f t="shared" si="32"/>
        <v>244</v>
      </c>
      <c r="M271" s="287">
        <v>2.69</v>
      </c>
      <c r="N271" s="284">
        <f>VLOOKUP(6457,季財報!A:N,8,0)</f>
        <v>3</v>
      </c>
    </row>
    <row r="272" spans="1:14">
      <c r="A272" s="184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197">
        <v>0.05</v>
      </c>
      <c r="I272">
        <f t="shared" si="30"/>
        <v>231</v>
      </c>
      <c r="J272" s="190">
        <v>0.04</v>
      </c>
      <c r="K272">
        <f t="shared" si="31"/>
        <v>220</v>
      </c>
      <c r="L272" s="62">
        <f t="shared" si="32"/>
        <v>244</v>
      </c>
      <c r="M272" s="287">
        <v>2.69</v>
      </c>
      <c r="N272" s="284">
        <f>VLOOKUP(6109,季財報!A:N,8,0)</f>
        <v>2</v>
      </c>
    </row>
    <row r="273" spans="1:14">
      <c r="A273" s="184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197">
        <v>0.05</v>
      </c>
      <c r="I273">
        <f t="shared" si="30"/>
        <v>231</v>
      </c>
      <c r="J273" s="190">
        <v>0.04</v>
      </c>
      <c r="K273">
        <f t="shared" si="31"/>
        <v>220</v>
      </c>
      <c r="L273" s="62">
        <f t="shared" si="32"/>
        <v>244</v>
      </c>
      <c r="M273" s="287">
        <v>2.69</v>
      </c>
      <c r="N273" s="284">
        <f>VLOOKUP(5015,季財報!A:N,8,0)</f>
        <v>3</v>
      </c>
    </row>
    <row r="274" spans="1:14">
      <c r="A274" s="184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197">
        <v>0.05</v>
      </c>
      <c r="I274">
        <f t="shared" si="30"/>
        <v>231</v>
      </c>
      <c r="J274" s="190">
        <v>0.04</v>
      </c>
      <c r="K274">
        <f t="shared" si="31"/>
        <v>220</v>
      </c>
      <c r="L274" s="62">
        <f t="shared" si="32"/>
        <v>244</v>
      </c>
      <c r="M274" s="287">
        <v>2.69</v>
      </c>
      <c r="N274" s="284">
        <f>VLOOKUP(5493,季財報!A:N,8,0)</f>
        <v>2</v>
      </c>
    </row>
    <row r="275" spans="1:14">
      <c r="A275" s="184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197">
        <v>0.05</v>
      </c>
      <c r="I275">
        <f t="shared" si="30"/>
        <v>231</v>
      </c>
      <c r="J275" s="190">
        <v>0.04</v>
      </c>
      <c r="K275">
        <f t="shared" si="31"/>
        <v>220</v>
      </c>
      <c r="L275" s="62">
        <f t="shared" si="32"/>
        <v>244</v>
      </c>
      <c r="M275" s="287">
        <v>2.69</v>
      </c>
      <c r="N275" s="284">
        <f>VLOOKUP(1709,季財報!A:N,8,0)</f>
        <v>2</v>
      </c>
    </row>
    <row r="276" spans="1:14">
      <c r="A276" s="184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197">
        <v>0.05</v>
      </c>
      <c r="I276">
        <f t="shared" si="30"/>
        <v>231</v>
      </c>
      <c r="J276" s="190">
        <v>0.04</v>
      </c>
      <c r="K276">
        <f t="shared" si="31"/>
        <v>220</v>
      </c>
      <c r="L276" s="62">
        <f t="shared" si="32"/>
        <v>244</v>
      </c>
      <c r="M276" s="287">
        <v>2.69</v>
      </c>
      <c r="N276" s="284">
        <f>VLOOKUP(2636,季財報!A:N,8,0)</f>
        <v>2</v>
      </c>
    </row>
    <row r="277" spans="1:14">
      <c r="A277" s="184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197">
        <v>0.05</v>
      </c>
      <c r="I277">
        <f t="shared" si="30"/>
        <v>231</v>
      </c>
      <c r="J277" s="190">
        <v>0.04</v>
      </c>
      <c r="K277">
        <f t="shared" si="31"/>
        <v>220</v>
      </c>
      <c r="L277" s="62">
        <f t="shared" si="32"/>
        <v>244</v>
      </c>
      <c r="M277" s="287">
        <v>2.69</v>
      </c>
      <c r="N277" s="284">
        <f>VLOOKUP(3443,季財報!A:N,8,0)</f>
        <v>3</v>
      </c>
    </row>
    <row r="278" spans="1:14">
      <c r="A278" s="184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197">
        <v>0.04</v>
      </c>
      <c r="I278">
        <f t="shared" ref="I278:I284" si="33">RANK(0.04,H:H,0)</f>
        <v>330</v>
      </c>
      <c r="J278" s="190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287">
        <v>2.52</v>
      </c>
      <c r="N278" s="284">
        <f>VLOOKUP(9942,季財報!A:N,8,0)</f>
        <v>2</v>
      </c>
    </row>
    <row r="279" spans="1:14">
      <c r="A279" s="184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197">
        <v>0.04</v>
      </c>
      <c r="I279">
        <f t="shared" si="33"/>
        <v>330</v>
      </c>
      <c r="J279" s="190">
        <v>0.05</v>
      </c>
      <c r="K279">
        <f t="shared" si="34"/>
        <v>135</v>
      </c>
      <c r="L279" s="62">
        <f t="shared" si="35"/>
        <v>277</v>
      </c>
      <c r="M279" s="287">
        <v>2.5299999999999998</v>
      </c>
      <c r="N279" s="284">
        <f>VLOOKUP(4175,季財報!A:N,8,0)</f>
        <v>1</v>
      </c>
    </row>
    <row r="280" spans="1:14">
      <c r="A280" s="184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197">
        <v>0.04</v>
      </c>
      <c r="I280">
        <f t="shared" si="33"/>
        <v>330</v>
      </c>
      <c r="J280" s="190">
        <v>0.05</v>
      </c>
      <c r="K280">
        <f t="shared" si="34"/>
        <v>135</v>
      </c>
      <c r="L280" s="62">
        <f t="shared" si="35"/>
        <v>277</v>
      </c>
      <c r="M280" s="287">
        <v>2.5299999999999998</v>
      </c>
      <c r="N280" s="284">
        <f>VLOOKUP(4974,季財報!A:N,8,0)</f>
        <v>2</v>
      </c>
    </row>
    <row r="281" spans="1:14">
      <c r="A281" s="184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197">
        <v>0.04</v>
      </c>
      <c r="I281">
        <f t="shared" si="33"/>
        <v>330</v>
      </c>
      <c r="J281" s="190">
        <v>0.05</v>
      </c>
      <c r="K281">
        <f t="shared" si="34"/>
        <v>135</v>
      </c>
      <c r="L281" s="62">
        <f t="shared" si="35"/>
        <v>277</v>
      </c>
      <c r="M281" s="287">
        <v>2.33</v>
      </c>
      <c r="N281" s="284">
        <f>VLOOKUP(1733,季財報!A:N,8,0)</f>
        <v>4</v>
      </c>
    </row>
    <row r="282" spans="1:14">
      <c r="A282" s="184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197">
        <v>0.04</v>
      </c>
      <c r="I282">
        <f t="shared" si="33"/>
        <v>330</v>
      </c>
      <c r="J282" s="190">
        <v>0.05</v>
      </c>
      <c r="K282">
        <f t="shared" si="34"/>
        <v>135</v>
      </c>
      <c r="L282" s="62">
        <f t="shared" si="35"/>
        <v>277</v>
      </c>
      <c r="M282" s="287">
        <v>2.33</v>
      </c>
      <c r="N282" s="284">
        <f>VLOOKUP(3564,季財報!A:N,8,0)</f>
        <v>3</v>
      </c>
    </row>
    <row r="283" spans="1:14">
      <c r="A283" s="184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197">
        <v>0.04</v>
      </c>
      <c r="I283">
        <f t="shared" si="33"/>
        <v>330</v>
      </c>
      <c r="J283" s="190">
        <v>0.05</v>
      </c>
      <c r="K283">
        <f t="shared" si="34"/>
        <v>135</v>
      </c>
      <c r="L283" s="62">
        <f t="shared" si="35"/>
        <v>277</v>
      </c>
      <c r="M283" s="287">
        <v>2.33</v>
      </c>
      <c r="N283" s="284">
        <f>VLOOKUP(8215,季財報!A:N,8,0)</f>
        <v>2</v>
      </c>
    </row>
    <row r="284" spans="1:14">
      <c r="A284" s="184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197">
        <v>0.04</v>
      </c>
      <c r="I284">
        <f t="shared" si="33"/>
        <v>330</v>
      </c>
      <c r="J284" s="190">
        <v>0.05</v>
      </c>
      <c r="K284">
        <f t="shared" si="34"/>
        <v>135</v>
      </c>
      <c r="L284" s="62">
        <f t="shared" si="35"/>
        <v>277</v>
      </c>
      <c r="M284" s="287">
        <v>2.29</v>
      </c>
      <c r="N284" s="284">
        <f>VLOOKUP(3693,季財報!A:N,8,0)</f>
        <v>4</v>
      </c>
    </row>
    <row r="285" spans="1:14">
      <c r="A285" s="184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197">
        <v>0.06</v>
      </c>
      <c r="I285">
        <f t="shared" ref="I285:I290" si="36">RANK(0.06,H:H,0)</f>
        <v>155</v>
      </c>
      <c r="J285" s="190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287">
        <v>2.29</v>
      </c>
      <c r="N285" s="284">
        <f>VLOOKUP(9945,季財報!A:N,8,0)</f>
        <v>5</v>
      </c>
    </row>
    <row r="286" spans="1:14">
      <c r="A286" s="184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197">
        <v>0.06</v>
      </c>
      <c r="I286">
        <f t="shared" si="36"/>
        <v>155</v>
      </c>
      <c r="J286" s="190">
        <v>0.03</v>
      </c>
      <c r="K286">
        <f t="shared" si="37"/>
        <v>334</v>
      </c>
      <c r="L286" s="62">
        <f t="shared" si="38"/>
        <v>284</v>
      </c>
      <c r="M286" s="287">
        <v>2.29</v>
      </c>
      <c r="N286" s="284">
        <f>VLOOKUP(6196,季財報!A:N,8,0)</f>
        <v>3</v>
      </c>
    </row>
    <row r="287" spans="1:14">
      <c r="A287" s="184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197">
        <v>0.06</v>
      </c>
      <c r="I287">
        <f t="shared" si="36"/>
        <v>155</v>
      </c>
      <c r="J287" s="190">
        <v>0.03</v>
      </c>
      <c r="K287">
        <f t="shared" si="37"/>
        <v>334</v>
      </c>
      <c r="L287" s="62">
        <f t="shared" si="38"/>
        <v>284</v>
      </c>
      <c r="M287" s="287">
        <v>2.29</v>
      </c>
      <c r="N287" s="284">
        <f>VLOOKUP(3022,季財報!A:N,8,0)</f>
        <v>2</v>
      </c>
    </row>
    <row r="288" spans="1:14">
      <c r="A288" s="184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197">
        <v>0.06</v>
      </c>
      <c r="I288">
        <f t="shared" si="36"/>
        <v>155</v>
      </c>
      <c r="J288" s="190">
        <v>0.03</v>
      </c>
      <c r="K288">
        <f t="shared" si="37"/>
        <v>334</v>
      </c>
      <c r="L288" s="62">
        <f t="shared" si="38"/>
        <v>284</v>
      </c>
      <c r="M288" s="287">
        <v>2.29</v>
      </c>
      <c r="N288" s="284">
        <f>VLOOKUP(3661,季財報!A:N,8,0)</f>
        <v>2</v>
      </c>
    </row>
    <row r="289" spans="1:14">
      <c r="A289" s="184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197">
        <v>0.06</v>
      </c>
      <c r="I289">
        <f t="shared" si="36"/>
        <v>155</v>
      </c>
      <c r="J289" s="190">
        <v>0.03</v>
      </c>
      <c r="K289">
        <f t="shared" si="37"/>
        <v>334</v>
      </c>
      <c r="L289" s="62">
        <f t="shared" si="38"/>
        <v>284</v>
      </c>
      <c r="M289" s="287">
        <v>2.29</v>
      </c>
      <c r="N289" s="284">
        <f>VLOOKUP(3694,季財報!A:N,8,0)</f>
        <v>5</v>
      </c>
    </row>
    <row r="290" spans="1:14">
      <c r="A290" s="184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197">
        <v>0.06</v>
      </c>
      <c r="I290">
        <f t="shared" si="36"/>
        <v>155</v>
      </c>
      <c r="J290" s="190">
        <v>0.03</v>
      </c>
      <c r="K290">
        <f t="shared" si="37"/>
        <v>334</v>
      </c>
      <c r="L290" s="62">
        <f t="shared" si="38"/>
        <v>284</v>
      </c>
      <c r="M290" s="287">
        <v>2.29</v>
      </c>
      <c r="N290" s="284">
        <f>VLOOKUP(3289,季財報!A:N,8,0)</f>
        <v>4</v>
      </c>
    </row>
    <row r="291" spans="1:14">
      <c r="A291" s="184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197">
        <v>0.04</v>
      </c>
      <c r="I291">
        <f t="shared" ref="I291:I337" si="39">RANK(0.04,H:H,0)</f>
        <v>330</v>
      </c>
      <c r="J291" s="190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287">
        <v>2.29</v>
      </c>
      <c r="N291" s="284">
        <f>VLOOKUP(8210,季財報!A:N,8,0)</f>
        <v>4</v>
      </c>
    </row>
    <row r="292" spans="1:14">
      <c r="A292" s="184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197">
        <v>0.04</v>
      </c>
      <c r="I292">
        <f t="shared" si="39"/>
        <v>330</v>
      </c>
      <c r="J292" s="190">
        <v>0.04</v>
      </c>
      <c r="K292">
        <f t="shared" si="40"/>
        <v>220</v>
      </c>
      <c r="L292" s="62">
        <f t="shared" si="41"/>
        <v>290</v>
      </c>
      <c r="M292" s="287">
        <v>2.29</v>
      </c>
      <c r="N292" s="284">
        <f>VLOOKUP(6451,季財報!A:N,8,0)</f>
        <v>1</v>
      </c>
    </row>
    <row r="293" spans="1:14">
      <c r="A293" s="184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197">
        <v>0.04</v>
      </c>
      <c r="I293">
        <f t="shared" si="39"/>
        <v>330</v>
      </c>
      <c r="J293" s="190">
        <v>0.04</v>
      </c>
      <c r="K293">
        <f t="shared" si="40"/>
        <v>220</v>
      </c>
      <c r="L293" s="62">
        <f t="shared" si="41"/>
        <v>290</v>
      </c>
      <c r="M293" s="287">
        <v>2.29</v>
      </c>
      <c r="N293" s="284">
        <f>VLOOKUP(8039,季財報!A:N,8,0)</f>
        <v>5</v>
      </c>
    </row>
    <row r="294" spans="1:14">
      <c r="A294" s="184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197">
        <v>0.04</v>
      </c>
      <c r="I294">
        <f t="shared" si="39"/>
        <v>330</v>
      </c>
      <c r="J294" s="190">
        <v>0.04</v>
      </c>
      <c r="K294">
        <f t="shared" si="40"/>
        <v>220</v>
      </c>
      <c r="L294" s="62">
        <f t="shared" si="41"/>
        <v>290</v>
      </c>
      <c r="M294" s="287">
        <v>2.29</v>
      </c>
      <c r="N294" s="284">
        <f>VLOOKUP(6153,季財報!A:N,8,0)</f>
        <v>3</v>
      </c>
    </row>
    <row r="295" spans="1:14">
      <c r="A295" s="184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197">
        <v>0.04</v>
      </c>
      <c r="I295">
        <f t="shared" si="39"/>
        <v>330</v>
      </c>
      <c r="J295" s="190">
        <v>0.04</v>
      </c>
      <c r="K295">
        <f t="shared" si="40"/>
        <v>220</v>
      </c>
      <c r="L295" s="62">
        <f t="shared" si="41"/>
        <v>290</v>
      </c>
      <c r="M295" s="287">
        <v>2.29</v>
      </c>
      <c r="N295" s="284">
        <f>VLOOKUP(6192,季財報!A:N,8,0)</f>
        <v>3</v>
      </c>
    </row>
    <row r="296" spans="1:14">
      <c r="A296" s="184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197">
        <v>0.04</v>
      </c>
      <c r="I296">
        <f t="shared" si="39"/>
        <v>330</v>
      </c>
      <c r="J296" s="190">
        <v>0.04</v>
      </c>
      <c r="K296">
        <f t="shared" si="40"/>
        <v>220</v>
      </c>
      <c r="L296" s="62">
        <f t="shared" si="41"/>
        <v>290</v>
      </c>
      <c r="M296" s="287">
        <v>2.29</v>
      </c>
      <c r="N296" s="284">
        <f>VLOOKUP(6216,季財報!A:N,8,0)</f>
        <v>2</v>
      </c>
    </row>
    <row r="297" spans="1:14">
      <c r="A297" s="184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197">
        <v>0.04</v>
      </c>
      <c r="I297">
        <f t="shared" si="39"/>
        <v>330</v>
      </c>
      <c r="J297" s="190">
        <v>0.04</v>
      </c>
      <c r="K297">
        <f t="shared" si="40"/>
        <v>220</v>
      </c>
      <c r="L297" s="62">
        <f t="shared" si="41"/>
        <v>290</v>
      </c>
      <c r="M297" s="287">
        <v>2.29</v>
      </c>
      <c r="N297" s="284">
        <f>VLOOKUP(4995,季財報!A:N,8,0)</f>
        <v>2</v>
      </c>
    </row>
    <row r="298" spans="1:14">
      <c r="A298" s="184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197">
        <v>0.04</v>
      </c>
      <c r="I298">
        <f t="shared" si="39"/>
        <v>330</v>
      </c>
      <c r="J298" s="190">
        <v>0.04</v>
      </c>
      <c r="K298">
        <f t="shared" si="40"/>
        <v>220</v>
      </c>
      <c r="L298" s="62">
        <f t="shared" si="41"/>
        <v>290</v>
      </c>
      <c r="M298" s="287">
        <v>2.29</v>
      </c>
      <c r="N298" s="284">
        <f>VLOOKUP(5234,季財報!A:N,8,0)</f>
        <v>3</v>
      </c>
    </row>
    <row r="299" spans="1:14">
      <c r="A299" s="184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197">
        <v>0.04</v>
      </c>
      <c r="I299">
        <f t="shared" si="39"/>
        <v>330</v>
      </c>
      <c r="J299" s="190">
        <v>0.04</v>
      </c>
      <c r="K299">
        <f t="shared" si="40"/>
        <v>220</v>
      </c>
      <c r="L299" s="62">
        <f t="shared" si="41"/>
        <v>290</v>
      </c>
      <c r="M299" s="287">
        <v>2.29</v>
      </c>
      <c r="N299" s="284">
        <f>VLOOKUP(5603,季財報!A:N,8,0)</f>
        <v>2</v>
      </c>
    </row>
    <row r="300" spans="1:14">
      <c r="A300" s="184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197">
        <v>0.04</v>
      </c>
      <c r="I300">
        <f t="shared" si="39"/>
        <v>330</v>
      </c>
      <c r="J300" s="190">
        <v>0.04</v>
      </c>
      <c r="K300">
        <f t="shared" si="40"/>
        <v>220</v>
      </c>
      <c r="L300" s="62">
        <f t="shared" si="41"/>
        <v>290</v>
      </c>
      <c r="M300" s="287">
        <v>2.29</v>
      </c>
      <c r="N300" s="284">
        <f>VLOOKUP(4555,季財報!A:N,8,0)</f>
        <v>2</v>
      </c>
    </row>
    <row r="301" spans="1:14">
      <c r="A301" s="184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197">
        <v>0.04</v>
      </c>
      <c r="I301">
        <f t="shared" si="39"/>
        <v>330</v>
      </c>
      <c r="J301" s="190">
        <v>0.04</v>
      </c>
      <c r="K301">
        <f t="shared" si="40"/>
        <v>220</v>
      </c>
      <c r="L301" s="62">
        <f t="shared" si="41"/>
        <v>290</v>
      </c>
      <c r="M301" s="287">
        <v>2.29</v>
      </c>
      <c r="N301" s="284">
        <f>VLOOKUP(4977,季財報!A:N,8,0)</f>
        <v>4</v>
      </c>
    </row>
    <row r="302" spans="1:14">
      <c r="A302" s="184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197">
        <v>0.04</v>
      </c>
      <c r="I302">
        <f t="shared" si="39"/>
        <v>330</v>
      </c>
      <c r="J302" s="190">
        <v>0.04</v>
      </c>
      <c r="K302">
        <f t="shared" si="40"/>
        <v>220</v>
      </c>
      <c r="L302" s="62">
        <f t="shared" si="41"/>
        <v>290</v>
      </c>
      <c r="M302" s="287">
        <v>2.29</v>
      </c>
      <c r="N302" s="284">
        <f>VLOOKUP(4984,季財報!A:N,8,0)</f>
        <v>4</v>
      </c>
    </row>
    <row r="303" spans="1:14">
      <c r="A303" s="184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197">
        <v>0.04</v>
      </c>
      <c r="I303">
        <f t="shared" si="39"/>
        <v>330</v>
      </c>
      <c r="J303" s="190">
        <v>0.04</v>
      </c>
      <c r="K303">
        <f t="shared" si="40"/>
        <v>220</v>
      </c>
      <c r="L303" s="62">
        <f t="shared" si="41"/>
        <v>290</v>
      </c>
      <c r="M303" s="287">
        <v>2.29</v>
      </c>
      <c r="N303" s="284">
        <f>VLOOKUP(5007,季財報!A:N,8,0)</f>
        <v>2</v>
      </c>
    </row>
    <row r="304" spans="1:14">
      <c r="A304" s="184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197">
        <v>0.04</v>
      </c>
      <c r="I304">
        <f t="shared" si="39"/>
        <v>330</v>
      </c>
      <c r="J304" s="190">
        <v>0.04</v>
      </c>
      <c r="K304">
        <f t="shared" si="40"/>
        <v>220</v>
      </c>
      <c r="L304" s="62">
        <f t="shared" si="41"/>
        <v>290</v>
      </c>
      <c r="M304" s="287">
        <v>2.29</v>
      </c>
      <c r="N304" s="284">
        <f>VLOOKUP(1259,季財報!A:N,8,0)</f>
        <v>3</v>
      </c>
    </row>
    <row r="305" spans="1:14">
      <c r="A305" s="184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197">
        <v>0.04</v>
      </c>
      <c r="I305">
        <f t="shared" si="39"/>
        <v>330</v>
      </c>
      <c r="J305" s="190">
        <v>0.04</v>
      </c>
      <c r="K305">
        <f t="shared" si="40"/>
        <v>220</v>
      </c>
      <c r="L305" s="62">
        <f t="shared" si="41"/>
        <v>290</v>
      </c>
      <c r="M305" s="287">
        <v>2.29</v>
      </c>
      <c r="N305" s="284">
        <f>VLOOKUP(1560,季財報!A:N,8,0)</f>
        <v>4</v>
      </c>
    </row>
    <row r="306" spans="1:14">
      <c r="A306" s="184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197">
        <v>0.04</v>
      </c>
      <c r="I306">
        <f t="shared" si="39"/>
        <v>330</v>
      </c>
      <c r="J306" s="190">
        <v>0.04</v>
      </c>
      <c r="K306">
        <f t="shared" si="40"/>
        <v>220</v>
      </c>
      <c r="L306" s="62">
        <f t="shared" si="41"/>
        <v>290</v>
      </c>
      <c r="M306" s="287">
        <v>2.29</v>
      </c>
      <c r="N306" s="284">
        <f>VLOOKUP(1593,季財報!A:N,8,0)</f>
        <v>3</v>
      </c>
    </row>
    <row r="307" spans="1:14">
      <c r="A307" s="184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197">
        <v>0.04</v>
      </c>
      <c r="I307">
        <f t="shared" si="39"/>
        <v>330</v>
      </c>
      <c r="J307" s="190">
        <v>0.04</v>
      </c>
      <c r="K307">
        <f t="shared" si="40"/>
        <v>220</v>
      </c>
      <c r="L307" s="62">
        <f t="shared" si="41"/>
        <v>290</v>
      </c>
      <c r="M307" s="287">
        <v>2.29</v>
      </c>
      <c r="N307" s="284">
        <f>VLOOKUP(1708,季財報!A:N,8,0)</f>
        <v>4</v>
      </c>
    </row>
    <row r="308" spans="1:14">
      <c r="A308" s="184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197">
        <v>0.04</v>
      </c>
      <c r="I308">
        <f t="shared" si="39"/>
        <v>330</v>
      </c>
      <c r="J308" s="190">
        <v>0.04</v>
      </c>
      <c r="K308">
        <f t="shared" si="40"/>
        <v>220</v>
      </c>
      <c r="L308" s="62">
        <f t="shared" si="41"/>
        <v>290</v>
      </c>
      <c r="M308" s="287">
        <v>2.29</v>
      </c>
      <c r="N308" s="284">
        <f>VLOOKUP(1726,季財報!A:N,8,0)</f>
        <v>3</v>
      </c>
    </row>
    <row r="309" spans="1:14">
      <c r="A309" s="184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197">
        <v>0.04</v>
      </c>
      <c r="I309">
        <f t="shared" si="39"/>
        <v>330</v>
      </c>
      <c r="J309" s="190">
        <v>0.04</v>
      </c>
      <c r="K309">
        <f t="shared" si="40"/>
        <v>220</v>
      </c>
      <c r="L309" s="62">
        <f t="shared" si="41"/>
        <v>290</v>
      </c>
      <c r="M309" s="287">
        <v>2.29</v>
      </c>
      <c r="N309" s="284">
        <f>VLOOKUP(1787,季財報!A:N,8,0)</f>
        <v>5</v>
      </c>
    </row>
    <row r="310" spans="1:14">
      <c r="A310" s="184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197">
        <v>0.04</v>
      </c>
      <c r="I310">
        <f t="shared" si="39"/>
        <v>330</v>
      </c>
      <c r="J310" s="190">
        <v>0.04</v>
      </c>
      <c r="K310">
        <f t="shared" si="40"/>
        <v>220</v>
      </c>
      <c r="L310" s="62">
        <f t="shared" si="41"/>
        <v>290</v>
      </c>
      <c r="M310" s="287">
        <v>2.29</v>
      </c>
      <c r="N310" s="284">
        <f>VLOOKUP(2105,季財報!A:N,8,0)</f>
        <v>1</v>
      </c>
    </row>
    <row r="311" spans="1:14">
      <c r="A311" s="184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197">
        <v>0.04</v>
      </c>
      <c r="I311">
        <f t="shared" si="39"/>
        <v>330</v>
      </c>
      <c r="J311" s="190">
        <v>0.04</v>
      </c>
      <c r="K311">
        <f t="shared" si="40"/>
        <v>220</v>
      </c>
      <c r="L311" s="62">
        <f t="shared" si="41"/>
        <v>290</v>
      </c>
      <c r="M311" s="287">
        <v>2.29</v>
      </c>
      <c r="N311" s="284">
        <f>VLOOKUP(2106,季財報!A:N,8,0)</f>
        <v>3</v>
      </c>
    </row>
    <row r="312" spans="1:14">
      <c r="A312" s="184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197">
        <v>0.04</v>
      </c>
      <c r="I312">
        <f t="shared" si="39"/>
        <v>330</v>
      </c>
      <c r="J312" s="190">
        <v>0.04</v>
      </c>
      <c r="K312">
        <f t="shared" si="40"/>
        <v>220</v>
      </c>
      <c r="L312" s="62">
        <f t="shared" si="41"/>
        <v>290</v>
      </c>
      <c r="M312" s="287">
        <v>2.29</v>
      </c>
      <c r="N312" s="284">
        <f>VLOOKUP(2325,季財報!A:N,8,0)</f>
        <v>1</v>
      </c>
    </row>
    <row r="313" spans="1:14">
      <c r="A313" s="184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197">
        <v>0.04</v>
      </c>
      <c r="I313">
        <f t="shared" si="39"/>
        <v>330</v>
      </c>
      <c r="J313" s="190">
        <v>0.04</v>
      </c>
      <c r="K313">
        <f t="shared" si="40"/>
        <v>220</v>
      </c>
      <c r="L313" s="62">
        <f t="shared" si="41"/>
        <v>290</v>
      </c>
      <c r="M313" s="287">
        <v>2.29</v>
      </c>
      <c r="N313" s="284">
        <f>VLOOKUP(2421,季財報!A:N,8,0)</f>
        <v>5</v>
      </c>
    </row>
    <row r="314" spans="1:14">
      <c r="A314" s="184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197">
        <v>0.04</v>
      </c>
      <c r="I314">
        <f t="shared" si="39"/>
        <v>330</v>
      </c>
      <c r="J314" s="190">
        <v>0.04</v>
      </c>
      <c r="K314">
        <f t="shared" si="40"/>
        <v>220</v>
      </c>
      <c r="L314" s="62">
        <f t="shared" si="41"/>
        <v>290</v>
      </c>
      <c r="M314" s="287">
        <v>2.29</v>
      </c>
      <c r="N314" s="284">
        <f>VLOOKUP(2437,季財報!A:N,8,0)</f>
        <v>3</v>
      </c>
    </row>
    <row r="315" spans="1:14">
      <c r="A315" s="184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197">
        <v>0.04</v>
      </c>
      <c r="I315">
        <f t="shared" si="39"/>
        <v>330</v>
      </c>
      <c r="J315" s="190">
        <v>0.04</v>
      </c>
      <c r="K315">
        <f t="shared" si="40"/>
        <v>220</v>
      </c>
      <c r="L315" s="62">
        <f t="shared" si="41"/>
        <v>290</v>
      </c>
      <c r="M315" s="287">
        <v>2.29</v>
      </c>
      <c r="N315" s="284">
        <f>VLOOKUP(2439,季財報!A:N,8,0)</f>
        <v>2</v>
      </c>
    </row>
    <row r="316" spans="1:14">
      <c r="A316" s="184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197">
        <v>0.04</v>
      </c>
      <c r="I316">
        <f t="shared" si="39"/>
        <v>330</v>
      </c>
      <c r="J316" s="190">
        <v>0.04</v>
      </c>
      <c r="K316">
        <f t="shared" si="40"/>
        <v>220</v>
      </c>
      <c r="L316" s="62">
        <f t="shared" si="41"/>
        <v>290</v>
      </c>
      <c r="M316" s="287">
        <v>2.29</v>
      </c>
      <c r="N316" s="284">
        <f>VLOOKUP(2441,季財報!A:N,8,0)</f>
        <v>2</v>
      </c>
    </row>
    <row r="317" spans="1:14">
      <c r="A317" s="184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197">
        <v>0.04</v>
      </c>
      <c r="I317">
        <f t="shared" si="39"/>
        <v>330</v>
      </c>
      <c r="J317" s="190">
        <v>0.04</v>
      </c>
      <c r="K317">
        <f t="shared" si="40"/>
        <v>220</v>
      </c>
      <c r="L317" s="62">
        <f t="shared" si="41"/>
        <v>290</v>
      </c>
      <c r="M317" s="287">
        <v>2.29</v>
      </c>
      <c r="N317" s="284">
        <f>VLOOKUP(2608,季財報!A:N,8,0)</f>
        <v>3</v>
      </c>
    </row>
    <row r="318" spans="1:14">
      <c r="A318" s="184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197">
        <v>0.04</v>
      </c>
      <c r="I318">
        <f t="shared" si="39"/>
        <v>330</v>
      </c>
      <c r="J318" s="190">
        <v>0.04</v>
      </c>
      <c r="K318">
        <f t="shared" si="40"/>
        <v>220</v>
      </c>
      <c r="L318" s="62">
        <f t="shared" si="41"/>
        <v>290</v>
      </c>
      <c r="M318" s="287">
        <v>2.29</v>
      </c>
      <c r="N318" s="284">
        <f>VLOOKUP(2712,季財報!A:N,8,0)</f>
        <v>2</v>
      </c>
    </row>
    <row r="319" spans="1:14">
      <c r="A319" s="184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197">
        <v>0.04</v>
      </c>
      <c r="I319">
        <f t="shared" si="39"/>
        <v>330</v>
      </c>
      <c r="J319" s="190">
        <v>0.04</v>
      </c>
      <c r="K319">
        <f t="shared" si="40"/>
        <v>220</v>
      </c>
      <c r="L319" s="62">
        <f t="shared" si="41"/>
        <v>290</v>
      </c>
      <c r="M319" s="287">
        <v>2.29</v>
      </c>
      <c r="N319" s="284">
        <f>VLOOKUP(2732,季財報!A:N,8,0)</f>
        <v>4</v>
      </c>
    </row>
    <row r="320" spans="1:14">
      <c r="A320" s="184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197">
        <v>0.04</v>
      </c>
      <c r="I320">
        <f t="shared" si="39"/>
        <v>330</v>
      </c>
      <c r="J320" s="190">
        <v>0.04</v>
      </c>
      <c r="K320">
        <f t="shared" si="40"/>
        <v>220</v>
      </c>
      <c r="L320" s="62">
        <f t="shared" si="41"/>
        <v>290</v>
      </c>
      <c r="M320" s="287">
        <v>2.29</v>
      </c>
      <c r="N320" s="284">
        <f>VLOOKUP(3004,季財報!A:N,8,0)</f>
        <v>4</v>
      </c>
    </row>
    <row r="321" spans="1:14">
      <c r="A321" s="184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197">
        <v>0.04</v>
      </c>
      <c r="I321">
        <f t="shared" si="39"/>
        <v>330</v>
      </c>
      <c r="J321" s="190">
        <v>0.04</v>
      </c>
      <c r="K321">
        <f t="shared" si="40"/>
        <v>220</v>
      </c>
      <c r="L321" s="62">
        <f t="shared" si="41"/>
        <v>290</v>
      </c>
      <c r="M321" s="287">
        <v>2.14</v>
      </c>
      <c r="N321" s="284">
        <f>VLOOKUP(3014,季財報!A:N,8,0)</f>
        <v>3</v>
      </c>
    </row>
    <row r="322" spans="1:14">
      <c r="A322" s="184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197">
        <v>0.04</v>
      </c>
      <c r="I322">
        <f t="shared" si="39"/>
        <v>330</v>
      </c>
      <c r="J322" s="190">
        <v>0.04</v>
      </c>
      <c r="K322">
        <f t="shared" si="40"/>
        <v>220</v>
      </c>
      <c r="L322" s="62">
        <f t="shared" si="41"/>
        <v>290</v>
      </c>
      <c r="M322" s="287">
        <v>2.13</v>
      </c>
      <c r="N322" s="284">
        <f>VLOOKUP(3060,季財報!A:N,8,0)</f>
        <v>3</v>
      </c>
    </row>
    <row r="323" spans="1:14">
      <c r="A323" s="184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197">
        <v>0.04</v>
      </c>
      <c r="I323">
        <f t="shared" si="39"/>
        <v>330</v>
      </c>
      <c r="J323" s="190">
        <v>0.04</v>
      </c>
      <c r="K323">
        <f t="shared" si="40"/>
        <v>220</v>
      </c>
      <c r="L323" s="62">
        <f t="shared" si="41"/>
        <v>290</v>
      </c>
      <c r="M323" s="287">
        <v>2.12</v>
      </c>
      <c r="N323" s="284">
        <f>VLOOKUP(3078,季財報!A:N,8,0)</f>
        <v>4</v>
      </c>
    </row>
    <row r="324" spans="1:14">
      <c r="A324" s="184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197">
        <v>0.04</v>
      </c>
      <c r="I324">
        <f t="shared" si="39"/>
        <v>330</v>
      </c>
      <c r="J324" s="190">
        <v>0.04</v>
      </c>
      <c r="K324">
        <f t="shared" si="40"/>
        <v>220</v>
      </c>
      <c r="L324" s="62">
        <f t="shared" si="41"/>
        <v>290</v>
      </c>
      <c r="M324" s="287">
        <v>2.21</v>
      </c>
      <c r="N324" s="284">
        <f>VLOOKUP(3118,季財報!A:N,8,0)</f>
        <v>3</v>
      </c>
    </row>
    <row r="325" spans="1:14">
      <c r="A325" s="184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197">
        <v>0.04</v>
      </c>
      <c r="I325">
        <f t="shared" si="39"/>
        <v>330</v>
      </c>
      <c r="J325" s="190">
        <v>0.04</v>
      </c>
      <c r="K325">
        <f t="shared" si="40"/>
        <v>220</v>
      </c>
      <c r="L325" s="62">
        <f t="shared" si="41"/>
        <v>290</v>
      </c>
      <c r="M325" s="287">
        <v>2.21</v>
      </c>
      <c r="N325" s="284">
        <f>VLOOKUP(3206,季財報!A:N,8,0)</f>
        <v>0</v>
      </c>
    </row>
    <row r="326" spans="1:14">
      <c r="A326" s="184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197">
        <v>0.04</v>
      </c>
      <c r="I326">
        <f t="shared" si="39"/>
        <v>330</v>
      </c>
      <c r="J326" s="190">
        <v>0.04</v>
      </c>
      <c r="K326">
        <f t="shared" si="40"/>
        <v>220</v>
      </c>
      <c r="L326" s="62">
        <f t="shared" si="41"/>
        <v>290</v>
      </c>
      <c r="M326" s="287">
        <v>2.21</v>
      </c>
      <c r="N326" s="284">
        <f>VLOOKUP(3293,季財報!A:N,8,0)</f>
        <v>5</v>
      </c>
    </row>
    <row r="327" spans="1:14">
      <c r="A327" s="184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197">
        <v>0.04</v>
      </c>
      <c r="I327">
        <f t="shared" si="39"/>
        <v>330</v>
      </c>
      <c r="J327" s="190">
        <v>0.04</v>
      </c>
      <c r="K327">
        <f t="shared" si="40"/>
        <v>220</v>
      </c>
      <c r="L327" s="62">
        <f t="shared" si="41"/>
        <v>290</v>
      </c>
      <c r="M327" s="287">
        <v>2.21</v>
      </c>
      <c r="N327" s="284">
        <f>VLOOKUP(3376,季財報!A:N,8,0)</f>
        <v>3</v>
      </c>
    </row>
    <row r="328" spans="1:14">
      <c r="A328" s="184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197">
        <v>0.04</v>
      </c>
      <c r="I328">
        <f t="shared" si="39"/>
        <v>330</v>
      </c>
      <c r="J328" s="190">
        <v>0.04</v>
      </c>
      <c r="K328">
        <f t="shared" si="40"/>
        <v>220</v>
      </c>
      <c r="L328" s="62">
        <f t="shared" si="41"/>
        <v>290</v>
      </c>
      <c r="M328" s="287">
        <v>2.21</v>
      </c>
      <c r="N328" s="284">
        <f>VLOOKUP(3416,季財報!A:N,8,0)</f>
        <v>2</v>
      </c>
    </row>
    <row r="329" spans="1:14">
      <c r="A329" s="184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197">
        <v>0.04</v>
      </c>
      <c r="I329">
        <f t="shared" si="39"/>
        <v>330</v>
      </c>
      <c r="J329" s="190">
        <v>0.04</v>
      </c>
      <c r="K329">
        <f t="shared" si="40"/>
        <v>220</v>
      </c>
      <c r="L329" s="62">
        <f t="shared" si="41"/>
        <v>290</v>
      </c>
      <c r="M329" s="287">
        <v>2.21</v>
      </c>
      <c r="N329" s="284">
        <f>VLOOKUP(3501,季財報!A:N,8,0)</f>
        <v>5</v>
      </c>
    </row>
    <row r="330" spans="1:14">
      <c r="A330" s="184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197">
        <v>0.04</v>
      </c>
      <c r="I330">
        <f t="shared" si="39"/>
        <v>330</v>
      </c>
      <c r="J330" s="190">
        <v>0.04</v>
      </c>
      <c r="K330">
        <f t="shared" si="40"/>
        <v>220</v>
      </c>
      <c r="L330" s="62">
        <f t="shared" si="41"/>
        <v>290</v>
      </c>
      <c r="M330" s="287">
        <v>2.21</v>
      </c>
      <c r="N330" s="284">
        <f>VLOOKUP(3665,季財報!A:N,8,0)</f>
        <v>3</v>
      </c>
    </row>
    <row r="331" spans="1:14">
      <c r="A331" s="184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197">
        <v>0.04</v>
      </c>
      <c r="I331">
        <f t="shared" si="39"/>
        <v>330</v>
      </c>
      <c r="J331" s="190">
        <v>0.04</v>
      </c>
      <c r="K331">
        <f t="shared" si="40"/>
        <v>220</v>
      </c>
      <c r="L331" s="62">
        <f t="shared" si="41"/>
        <v>290</v>
      </c>
      <c r="M331" s="287">
        <v>2.21</v>
      </c>
      <c r="N331" s="284">
        <f>VLOOKUP(9905,季財報!A:N,8,0)</f>
        <v>0</v>
      </c>
    </row>
    <row r="332" spans="1:14">
      <c r="A332" s="184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197">
        <v>0.04</v>
      </c>
      <c r="I332">
        <f t="shared" si="39"/>
        <v>330</v>
      </c>
      <c r="J332" s="190">
        <v>0.04</v>
      </c>
      <c r="K332">
        <f t="shared" si="40"/>
        <v>220</v>
      </c>
      <c r="L332" s="62">
        <f t="shared" si="41"/>
        <v>290</v>
      </c>
      <c r="M332" s="287">
        <v>2.09</v>
      </c>
      <c r="N332" s="284">
        <f>VLOOKUP(8436,季財報!A:N,8,0)</f>
        <v>4</v>
      </c>
    </row>
    <row r="333" spans="1:14">
      <c r="A333" s="184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197">
        <v>0.04</v>
      </c>
      <c r="I333">
        <f t="shared" si="39"/>
        <v>330</v>
      </c>
      <c r="J333" s="190">
        <v>0.04</v>
      </c>
      <c r="K333">
        <f t="shared" si="40"/>
        <v>220</v>
      </c>
      <c r="L333" s="62">
        <f t="shared" si="41"/>
        <v>290</v>
      </c>
      <c r="M333" s="287">
        <v>2.09</v>
      </c>
      <c r="N333" s="284">
        <f>VLOOKUP(4305,季財報!A:N,8,0)</f>
        <v>4</v>
      </c>
    </row>
    <row r="334" spans="1:14">
      <c r="A334" s="184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197">
        <v>0.04</v>
      </c>
      <c r="I334">
        <f t="shared" si="39"/>
        <v>330</v>
      </c>
      <c r="J334" s="190">
        <v>0.04</v>
      </c>
      <c r="K334">
        <f t="shared" si="40"/>
        <v>220</v>
      </c>
      <c r="L334" s="62">
        <f t="shared" si="41"/>
        <v>290</v>
      </c>
      <c r="M334" s="287">
        <v>2.09</v>
      </c>
      <c r="N334" s="284">
        <f>VLOOKUP(2317,季財報!A:N,8,0)</f>
        <v>1</v>
      </c>
    </row>
    <row r="335" spans="1:14">
      <c r="A335" s="184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197">
        <v>0.04</v>
      </c>
      <c r="I335">
        <f t="shared" si="39"/>
        <v>330</v>
      </c>
      <c r="J335" s="190">
        <v>0.04</v>
      </c>
      <c r="K335">
        <f t="shared" si="40"/>
        <v>220</v>
      </c>
      <c r="L335" s="62">
        <f t="shared" si="41"/>
        <v>290</v>
      </c>
      <c r="M335" s="287">
        <v>2.09</v>
      </c>
      <c r="N335" s="284">
        <f>VLOOKUP(2348,季財報!A:N,8,0)</f>
        <v>2</v>
      </c>
    </row>
    <row r="336" spans="1:14">
      <c r="A336" s="184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197">
        <v>0.04</v>
      </c>
      <c r="I336">
        <f t="shared" si="39"/>
        <v>330</v>
      </c>
      <c r="J336" s="190">
        <v>0.04</v>
      </c>
      <c r="K336">
        <f t="shared" si="40"/>
        <v>220</v>
      </c>
      <c r="L336" s="62">
        <f t="shared" si="41"/>
        <v>290</v>
      </c>
      <c r="M336" s="287">
        <v>2.09</v>
      </c>
      <c r="N336" s="284">
        <f>VLOOKUP(2360,季財報!A:N,8,0)</f>
        <v>1</v>
      </c>
    </row>
    <row r="337" spans="1:14">
      <c r="A337" s="184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197">
        <v>0.04</v>
      </c>
      <c r="I337">
        <f t="shared" si="39"/>
        <v>330</v>
      </c>
      <c r="J337" s="190">
        <v>0.04</v>
      </c>
      <c r="K337">
        <f t="shared" si="40"/>
        <v>220</v>
      </c>
      <c r="L337" s="62">
        <f t="shared" si="41"/>
        <v>290</v>
      </c>
      <c r="M337" s="287">
        <v>2.09</v>
      </c>
      <c r="N337" s="284">
        <f>VLOOKUP(3642,季財報!A:N,8,0)</f>
        <v>1</v>
      </c>
    </row>
    <row r="338" spans="1:14">
      <c r="A338" s="184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197">
        <v>0.09</v>
      </c>
      <c r="I338">
        <f>RANK(0.09,H:H,0)</f>
        <v>63</v>
      </c>
      <c r="J338" s="190">
        <v>0.02</v>
      </c>
      <c r="K338">
        <f>RANK(0.02,J:J,0)</f>
        <v>496</v>
      </c>
      <c r="L338" s="62">
        <f>RANK(2.72,M:M,0)</f>
        <v>337</v>
      </c>
      <c r="M338" s="287">
        <v>2.09</v>
      </c>
      <c r="N338" s="284">
        <f>VLOOKUP(5312,季財報!A:N,8,0)</f>
        <v>4</v>
      </c>
    </row>
    <row r="339" spans="1:14">
      <c r="A339" s="184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197">
        <v>0.05</v>
      </c>
      <c r="I339">
        <f t="shared" ref="I339:I359" si="42">RANK(0.05,H:H,0)</f>
        <v>231</v>
      </c>
      <c r="J339" s="190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287">
        <v>2.09</v>
      </c>
      <c r="N339" s="284">
        <f>VLOOKUP(9911,季財報!A:N,8,0)</f>
        <v>2</v>
      </c>
    </row>
    <row r="340" spans="1:14">
      <c r="A340" s="184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197">
        <v>0.05</v>
      </c>
      <c r="I340">
        <f t="shared" si="42"/>
        <v>231</v>
      </c>
      <c r="J340" s="190">
        <v>0.03</v>
      </c>
      <c r="K340">
        <f t="shared" si="43"/>
        <v>334</v>
      </c>
      <c r="L340" s="62">
        <f t="shared" si="44"/>
        <v>338</v>
      </c>
      <c r="M340" s="287">
        <v>1.9</v>
      </c>
      <c r="N340" s="284">
        <f>VLOOKUP(8404,季財報!A:N,8,0)</f>
        <v>2</v>
      </c>
    </row>
    <row r="341" spans="1:14">
      <c r="A341" s="184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197">
        <v>0.05</v>
      </c>
      <c r="I341">
        <f t="shared" si="42"/>
        <v>231</v>
      </c>
      <c r="J341" s="190">
        <v>0.03</v>
      </c>
      <c r="K341">
        <f t="shared" si="43"/>
        <v>334</v>
      </c>
      <c r="L341" s="62">
        <f t="shared" si="44"/>
        <v>338</v>
      </c>
      <c r="M341" s="287">
        <v>1.9</v>
      </c>
      <c r="N341" s="284">
        <f>VLOOKUP(6183,季財報!A:N,8,0)</f>
        <v>1</v>
      </c>
    </row>
    <row r="342" spans="1:14">
      <c r="A342" s="184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197">
        <v>0.05</v>
      </c>
      <c r="I342">
        <f t="shared" si="42"/>
        <v>231</v>
      </c>
      <c r="J342" s="190">
        <v>0.03</v>
      </c>
      <c r="K342">
        <f t="shared" si="43"/>
        <v>334</v>
      </c>
      <c r="L342" s="62">
        <f t="shared" si="44"/>
        <v>338</v>
      </c>
      <c r="M342" s="287">
        <v>1.9</v>
      </c>
      <c r="N342" s="284">
        <f>VLOOKUP(6207,季財報!A:N,8,0)</f>
        <v>4</v>
      </c>
    </row>
    <row r="343" spans="1:14">
      <c r="A343" s="184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197">
        <v>0.05</v>
      </c>
      <c r="I343">
        <f t="shared" si="42"/>
        <v>231</v>
      </c>
      <c r="J343" s="190">
        <v>0.03</v>
      </c>
      <c r="K343">
        <f t="shared" si="43"/>
        <v>334</v>
      </c>
      <c r="L343" s="62">
        <f t="shared" si="44"/>
        <v>338</v>
      </c>
      <c r="M343" s="287">
        <v>1.9</v>
      </c>
      <c r="N343" s="284">
        <f>VLOOKUP(6166,季財報!A:N,8,0)</f>
        <v>2</v>
      </c>
    </row>
    <row r="344" spans="1:14">
      <c r="A344" s="184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197">
        <v>0.05</v>
      </c>
      <c r="I344">
        <f t="shared" si="42"/>
        <v>231</v>
      </c>
      <c r="J344" s="190">
        <v>0.03</v>
      </c>
      <c r="K344">
        <f t="shared" si="43"/>
        <v>334</v>
      </c>
      <c r="L344" s="62">
        <f t="shared" si="44"/>
        <v>338</v>
      </c>
      <c r="M344" s="287">
        <v>1.9</v>
      </c>
      <c r="N344" s="284">
        <f>VLOOKUP(4528,季財報!A:N,8,0)</f>
        <v>2</v>
      </c>
    </row>
    <row r="345" spans="1:14">
      <c r="A345" s="184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197">
        <v>0.05</v>
      </c>
      <c r="I345">
        <f t="shared" si="42"/>
        <v>231</v>
      </c>
      <c r="J345" s="190">
        <v>0.03</v>
      </c>
      <c r="K345">
        <f t="shared" si="43"/>
        <v>334</v>
      </c>
      <c r="L345" s="62">
        <f t="shared" si="44"/>
        <v>338</v>
      </c>
      <c r="M345" s="287">
        <v>1.9</v>
      </c>
      <c r="N345" s="284">
        <f>VLOOKUP(1513,季財報!A:N,8,0)</f>
        <v>2</v>
      </c>
    </row>
    <row r="346" spans="1:14">
      <c r="A346" s="184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197">
        <v>0.05</v>
      </c>
      <c r="I346">
        <f t="shared" si="42"/>
        <v>231</v>
      </c>
      <c r="J346" s="190">
        <v>0.03</v>
      </c>
      <c r="K346">
        <f t="shared" si="43"/>
        <v>334</v>
      </c>
      <c r="L346" s="62">
        <f t="shared" si="44"/>
        <v>338</v>
      </c>
      <c r="M346" s="287">
        <v>1.9</v>
      </c>
      <c r="N346" s="284">
        <f>VLOOKUP(1515,季財報!A:N,8,0)</f>
        <v>5</v>
      </c>
    </row>
    <row r="347" spans="1:14">
      <c r="A347" s="184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197">
        <v>0.05</v>
      </c>
      <c r="I347">
        <f t="shared" si="42"/>
        <v>231</v>
      </c>
      <c r="J347" s="190">
        <v>0.03</v>
      </c>
      <c r="K347">
        <f t="shared" si="43"/>
        <v>334</v>
      </c>
      <c r="L347" s="62">
        <f t="shared" si="44"/>
        <v>338</v>
      </c>
      <c r="M347" s="287">
        <v>1.9</v>
      </c>
      <c r="N347" s="284">
        <f>VLOOKUP(1590,季財報!A:N,8,0)</f>
        <v>1</v>
      </c>
    </row>
    <row r="348" spans="1:14">
      <c r="A348" s="184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197">
        <v>0.05</v>
      </c>
      <c r="I348">
        <f t="shared" si="42"/>
        <v>231</v>
      </c>
      <c r="J348" s="190">
        <v>0.03</v>
      </c>
      <c r="K348">
        <f t="shared" si="43"/>
        <v>334</v>
      </c>
      <c r="L348" s="62">
        <f t="shared" si="44"/>
        <v>338</v>
      </c>
      <c r="M348" s="287">
        <v>1.9</v>
      </c>
      <c r="N348" s="284">
        <f>VLOOKUP(1795,季財報!A:N,8,0)</f>
        <v>4</v>
      </c>
    </row>
    <row r="349" spans="1:14">
      <c r="A349" s="184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197">
        <v>0.05</v>
      </c>
      <c r="I349">
        <f t="shared" si="42"/>
        <v>231</v>
      </c>
      <c r="J349" s="190">
        <v>0.03</v>
      </c>
      <c r="K349">
        <f t="shared" si="43"/>
        <v>334</v>
      </c>
      <c r="L349" s="62">
        <f t="shared" si="44"/>
        <v>338</v>
      </c>
      <c r="M349" s="287">
        <v>1.9</v>
      </c>
      <c r="N349" s="284">
        <f>VLOOKUP(2357,季財報!A:N,8,0)</f>
        <v>0</v>
      </c>
    </row>
    <row r="350" spans="1:14">
      <c r="A350" s="184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197">
        <v>0.05</v>
      </c>
      <c r="I350">
        <f t="shared" si="42"/>
        <v>231</v>
      </c>
      <c r="J350" s="190">
        <v>0.03</v>
      </c>
      <c r="K350">
        <f t="shared" si="43"/>
        <v>334</v>
      </c>
      <c r="L350" s="62">
        <f t="shared" si="44"/>
        <v>338</v>
      </c>
      <c r="M350" s="287">
        <v>1.9</v>
      </c>
      <c r="N350" s="284">
        <f>VLOOKUP(2454,季財報!A:N,8,0)</f>
        <v>1</v>
      </c>
    </row>
    <row r="351" spans="1:14">
      <c r="A351" s="184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197">
        <v>0.05</v>
      </c>
      <c r="I351">
        <f t="shared" si="42"/>
        <v>231</v>
      </c>
      <c r="J351" s="190">
        <v>0.03</v>
      </c>
      <c r="K351">
        <f t="shared" si="43"/>
        <v>334</v>
      </c>
      <c r="L351" s="62">
        <f t="shared" si="44"/>
        <v>338</v>
      </c>
      <c r="M351" s="287">
        <v>1.9</v>
      </c>
      <c r="N351" s="284">
        <f>VLOOKUP(2923,季財報!A:N,8,0)</f>
        <v>4</v>
      </c>
    </row>
    <row r="352" spans="1:14">
      <c r="A352" s="184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197">
        <v>0.05</v>
      </c>
      <c r="I352">
        <f t="shared" si="42"/>
        <v>231</v>
      </c>
      <c r="J352" s="190">
        <v>0.03</v>
      </c>
      <c r="K352">
        <f t="shared" si="43"/>
        <v>334</v>
      </c>
      <c r="L352" s="62">
        <f t="shared" si="44"/>
        <v>338</v>
      </c>
      <c r="M352" s="287">
        <v>1.9</v>
      </c>
      <c r="N352" s="284">
        <f>VLOOKUP(3035,季財報!A:N,8,0)</f>
        <v>1</v>
      </c>
    </row>
    <row r="353" spans="1:14">
      <c r="A353" s="184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197">
        <v>0.05</v>
      </c>
      <c r="I353">
        <f t="shared" si="42"/>
        <v>231</v>
      </c>
      <c r="J353" s="190">
        <v>0.03</v>
      </c>
      <c r="K353">
        <f t="shared" si="43"/>
        <v>334</v>
      </c>
      <c r="L353" s="62">
        <f t="shared" si="44"/>
        <v>338</v>
      </c>
      <c r="M353" s="287">
        <v>1.9</v>
      </c>
      <c r="N353" s="284">
        <f>VLOOKUP(3144,季財報!A:N,8,0)</f>
        <v>2</v>
      </c>
    </row>
    <row r="354" spans="1:14">
      <c r="A354" s="184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197">
        <v>0.05</v>
      </c>
      <c r="I354">
        <f t="shared" si="42"/>
        <v>231</v>
      </c>
      <c r="J354" s="190">
        <v>0.03</v>
      </c>
      <c r="K354">
        <f t="shared" si="43"/>
        <v>334</v>
      </c>
      <c r="L354" s="62">
        <f t="shared" si="44"/>
        <v>338</v>
      </c>
      <c r="M354" s="287">
        <v>1.9</v>
      </c>
      <c r="N354" s="284">
        <f>VLOOKUP(3294,季財報!A:N,8,0)</f>
        <v>5</v>
      </c>
    </row>
    <row r="355" spans="1:14">
      <c r="A355" s="184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197">
        <v>0.05</v>
      </c>
      <c r="I355">
        <f t="shared" si="42"/>
        <v>231</v>
      </c>
      <c r="J355" s="190">
        <v>0.03</v>
      </c>
      <c r="K355">
        <f t="shared" si="43"/>
        <v>334</v>
      </c>
      <c r="L355" s="62">
        <f t="shared" si="44"/>
        <v>338</v>
      </c>
      <c r="M355" s="287">
        <v>1.9</v>
      </c>
      <c r="N355" s="284">
        <f>VLOOKUP(6123,季財報!A:N,8,0)</f>
        <v>3</v>
      </c>
    </row>
    <row r="356" spans="1:14">
      <c r="A356" s="184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197">
        <v>0.05</v>
      </c>
      <c r="I356">
        <f t="shared" si="42"/>
        <v>231</v>
      </c>
      <c r="J356" s="190">
        <v>0.03</v>
      </c>
      <c r="K356">
        <f t="shared" si="43"/>
        <v>334</v>
      </c>
      <c r="L356" s="62">
        <f t="shared" si="44"/>
        <v>338</v>
      </c>
      <c r="M356" s="287">
        <v>1.9</v>
      </c>
      <c r="N356" s="284">
        <f>VLOOKUP(6128,季財報!A:N,8,0)</f>
        <v>3</v>
      </c>
    </row>
    <row r="357" spans="1:14">
      <c r="A357" s="184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197">
        <v>0.05</v>
      </c>
      <c r="I357">
        <f t="shared" si="42"/>
        <v>231</v>
      </c>
      <c r="J357" s="190">
        <v>0.03</v>
      </c>
      <c r="K357">
        <f t="shared" si="43"/>
        <v>334</v>
      </c>
      <c r="L357" s="62">
        <f t="shared" si="44"/>
        <v>338</v>
      </c>
      <c r="M357" s="287">
        <v>1.9</v>
      </c>
      <c r="N357" s="284">
        <f>VLOOKUP(6227,季財報!A:N,8,0)</f>
        <v>2</v>
      </c>
    </row>
    <row r="358" spans="1:14">
      <c r="A358" s="184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197">
        <v>0.05</v>
      </c>
      <c r="I358">
        <f t="shared" si="42"/>
        <v>231</v>
      </c>
      <c r="J358" s="190">
        <v>0.03</v>
      </c>
      <c r="K358">
        <f t="shared" si="43"/>
        <v>334</v>
      </c>
      <c r="L358" s="62">
        <f t="shared" si="44"/>
        <v>338</v>
      </c>
      <c r="M358" s="287">
        <v>1.9</v>
      </c>
      <c r="N358" s="284">
        <f>VLOOKUP(6221,季財報!A:N,8,0)</f>
        <v>2</v>
      </c>
    </row>
    <row r="359" spans="1:14">
      <c r="A359" s="184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197">
        <v>0.05</v>
      </c>
      <c r="I359">
        <f t="shared" si="42"/>
        <v>231</v>
      </c>
      <c r="J359" s="190">
        <v>0.03</v>
      </c>
      <c r="K359">
        <f t="shared" si="43"/>
        <v>334</v>
      </c>
      <c r="L359" s="62">
        <f t="shared" si="44"/>
        <v>338</v>
      </c>
      <c r="M359" s="287">
        <v>1.9</v>
      </c>
      <c r="N359" s="284">
        <f>VLOOKUP(4551,季財報!A:N,8,0)</f>
        <v>2</v>
      </c>
    </row>
    <row r="360" spans="1:14">
      <c r="A360" s="184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197">
        <v>0.03</v>
      </c>
      <c r="I360">
        <f>RANK(0.03,H:H,0)</f>
        <v>466</v>
      </c>
      <c r="J360" s="190">
        <v>0.05</v>
      </c>
      <c r="K360">
        <f>RANK(0.05,J:J,0)</f>
        <v>135</v>
      </c>
      <c r="L360" s="62">
        <f>RANK(2.53,M:M,0)</f>
        <v>359</v>
      </c>
      <c r="M360" s="287">
        <v>1.9</v>
      </c>
      <c r="N360" s="284">
        <f>VLOOKUP(1323,季財報!A:N,8,0)</f>
        <v>2</v>
      </c>
    </row>
    <row r="361" spans="1:14">
      <c r="A361" s="184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197">
        <v>0.03</v>
      </c>
      <c r="I361">
        <f>RANK(0.03,H:H,0)</f>
        <v>466</v>
      </c>
      <c r="J361" s="190">
        <v>0.05</v>
      </c>
      <c r="K361">
        <f>RANK(0.05,J:J,0)</f>
        <v>135</v>
      </c>
      <c r="L361" s="62">
        <f>RANK(2.53,M:M,0)</f>
        <v>359</v>
      </c>
      <c r="M361" s="287">
        <v>1.9</v>
      </c>
      <c r="N361" s="284">
        <f>VLOOKUP(2618,季財報!A:N,8,0)</f>
        <v>5</v>
      </c>
    </row>
    <row r="362" spans="1:14">
      <c r="A362" s="184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197">
        <v>7.0000000000000007E-2</v>
      </c>
      <c r="I362">
        <f>RANK(0.07,H:H,0)</f>
        <v>107</v>
      </c>
      <c r="J362" s="190">
        <v>0.02</v>
      </c>
      <c r="K362">
        <f>RANK(0.02,J:J,0)</f>
        <v>496</v>
      </c>
      <c r="L362" s="62">
        <f>RANK(2.52,M:M,0)</f>
        <v>361</v>
      </c>
      <c r="M362" s="287">
        <v>1.9</v>
      </c>
      <c r="N362" s="284">
        <f>VLOOKUP(8076,季財報!A:N,8,0)</f>
        <v>3</v>
      </c>
    </row>
    <row r="363" spans="1:14">
      <c r="A363" s="184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197">
        <v>7.0000000000000007E-2</v>
      </c>
      <c r="I363">
        <f>RANK(0.07,H:H,0)</f>
        <v>107</v>
      </c>
      <c r="J363" s="190">
        <v>0.02</v>
      </c>
      <c r="K363">
        <f>RANK(0.02,J:J,0)</f>
        <v>496</v>
      </c>
      <c r="L363" s="62">
        <f>RANK(2.52,M:M,0)</f>
        <v>361</v>
      </c>
      <c r="M363" s="287">
        <v>1.9</v>
      </c>
      <c r="N363" s="284">
        <f>VLOOKUP(6298,季財報!A:N,8,0)</f>
        <v>3</v>
      </c>
    </row>
    <row r="364" spans="1:14">
      <c r="A364" s="184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197">
        <v>0.06</v>
      </c>
      <c r="I364">
        <f>RANK(0.06,H:H,0)</f>
        <v>155</v>
      </c>
      <c r="J364" s="190">
        <v>0.02</v>
      </c>
      <c r="K364">
        <f>RANK(0.02,J:J,0)</f>
        <v>496</v>
      </c>
      <c r="L364" s="62">
        <f>RANK(2.33,M:M,0)</f>
        <v>363</v>
      </c>
      <c r="M364" s="287">
        <v>1.9</v>
      </c>
      <c r="N364" s="284">
        <f>VLOOKUP(5530,季財報!A:N,8,0)</f>
        <v>2</v>
      </c>
    </row>
    <row r="365" spans="1:14">
      <c r="A365" s="184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197">
        <v>0.06</v>
      </c>
      <c r="I365">
        <f>RANK(0.06,H:H,0)</f>
        <v>155</v>
      </c>
      <c r="J365" s="190">
        <v>0.02</v>
      </c>
      <c r="K365">
        <f>RANK(0.02,J:J,0)</f>
        <v>496</v>
      </c>
      <c r="L365" s="62">
        <f>RANK(2.33,M:M,0)</f>
        <v>363</v>
      </c>
      <c r="M365" s="287">
        <v>1.9</v>
      </c>
      <c r="N365" s="284">
        <f>VLOOKUP(6139,季財報!A:N,8,0)</f>
        <v>2</v>
      </c>
    </row>
    <row r="366" spans="1:14">
      <c r="A366" s="184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197">
        <v>0.06</v>
      </c>
      <c r="I366">
        <f>RANK(0.06,H:H,0)</f>
        <v>155</v>
      </c>
      <c r="J366" s="190">
        <v>0.02</v>
      </c>
      <c r="K366">
        <f>RANK(0.02,J:J,0)</f>
        <v>496</v>
      </c>
      <c r="L366" s="62">
        <f>RANK(2.33,M:M,0)</f>
        <v>363</v>
      </c>
      <c r="M366" s="287">
        <v>1.9</v>
      </c>
      <c r="N366" s="284">
        <f>VLOOKUP(3209,季財報!A:N,8,0)</f>
        <v>2</v>
      </c>
    </row>
    <row r="367" spans="1:14">
      <c r="A367" s="184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197">
        <v>0.04</v>
      </c>
      <c r="I367">
        <f t="shared" ref="I367:I413" si="45">RANK(0.04,H:H,0)</f>
        <v>330</v>
      </c>
      <c r="J367" s="190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287">
        <v>1.9</v>
      </c>
      <c r="N367" s="284">
        <f>VLOOKUP(8942,季財報!A:N,8,0)</f>
        <v>3</v>
      </c>
    </row>
    <row r="368" spans="1:14">
      <c r="A368" s="184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197">
        <v>0.04</v>
      </c>
      <c r="I368">
        <f t="shared" si="45"/>
        <v>330</v>
      </c>
      <c r="J368" s="190">
        <v>0.03</v>
      </c>
      <c r="K368">
        <f t="shared" si="46"/>
        <v>334</v>
      </c>
      <c r="L368" s="62">
        <f t="shared" si="47"/>
        <v>366</v>
      </c>
      <c r="M368" s="287">
        <v>1.9</v>
      </c>
      <c r="N368" s="284">
        <f>VLOOKUP(6442,季財報!A:N,8,0)</f>
        <v>4</v>
      </c>
    </row>
    <row r="369" spans="1:14">
      <c r="A369" s="184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197">
        <v>0.04</v>
      </c>
      <c r="I369">
        <f t="shared" si="45"/>
        <v>330</v>
      </c>
      <c r="J369" s="190">
        <v>0.03</v>
      </c>
      <c r="K369">
        <f t="shared" si="46"/>
        <v>334</v>
      </c>
      <c r="L369" s="62">
        <f t="shared" si="47"/>
        <v>366</v>
      </c>
      <c r="M369" s="287">
        <v>1.9</v>
      </c>
      <c r="N369" s="284">
        <f>VLOOKUP(6449,季財報!A:N,8,0)</f>
        <v>4</v>
      </c>
    </row>
    <row r="370" spans="1:14">
      <c r="A370" s="184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197">
        <v>0.04</v>
      </c>
      <c r="I370">
        <f t="shared" si="45"/>
        <v>330</v>
      </c>
      <c r="J370" s="190">
        <v>0.03</v>
      </c>
      <c r="K370">
        <f t="shared" si="46"/>
        <v>334</v>
      </c>
      <c r="L370" s="62">
        <f t="shared" si="47"/>
        <v>366</v>
      </c>
      <c r="M370" s="287">
        <v>1.9</v>
      </c>
      <c r="N370" s="284">
        <f>VLOOKUP(6605,季財報!A:N,8,0)</f>
        <v>4</v>
      </c>
    </row>
    <row r="371" spans="1:14">
      <c r="A371" s="184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197">
        <v>0.04</v>
      </c>
      <c r="I371">
        <f t="shared" si="45"/>
        <v>330</v>
      </c>
      <c r="J371" s="190">
        <v>0.03</v>
      </c>
      <c r="K371">
        <f t="shared" si="46"/>
        <v>334</v>
      </c>
      <c r="L371" s="62">
        <f t="shared" si="47"/>
        <v>366</v>
      </c>
      <c r="M371" s="287">
        <v>1.9</v>
      </c>
      <c r="N371" s="284">
        <f>VLOOKUP(8088,季財報!A:N,8,0)</f>
        <v>2</v>
      </c>
    </row>
    <row r="372" spans="1:14">
      <c r="A372" s="184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197">
        <v>0.04</v>
      </c>
      <c r="I372">
        <f t="shared" si="45"/>
        <v>330</v>
      </c>
      <c r="J372" s="190">
        <v>0.03</v>
      </c>
      <c r="K372">
        <f t="shared" si="46"/>
        <v>334</v>
      </c>
      <c r="L372" s="62">
        <f t="shared" si="47"/>
        <v>366</v>
      </c>
      <c r="M372" s="287">
        <v>1.9</v>
      </c>
      <c r="N372" s="284">
        <f>VLOOKUP(6104,季財報!A:N,8,0)</f>
        <v>2</v>
      </c>
    </row>
    <row r="373" spans="1:14">
      <c r="A373" s="184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197">
        <v>0.04</v>
      </c>
      <c r="I373">
        <f t="shared" si="45"/>
        <v>330</v>
      </c>
      <c r="J373" s="190">
        <v>0.03</v>
      </c>
      <c r="K373">
        <f t="shared" si="46"/>
        <v>334</v>
      </c>
      <c r="L373" s="62">
        <f t="shared" si="47"/>
        <v>366</v>
      </c>
      <c r="M373" s="287">
        <v>1.9</v>
      </c>
      <c r="N373" s="284">
        <f>VLOOKUP(6218,季財報!A:N,8,0)</f>
        <v>2</v>
      </c>
    </row>
    <row r="374" spans="1:14">
      <c r="A374" s="184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197">
        <v>0.04</v>
      </c>
      <c r="I374">
        <f t="shared" si="45"/>
        <v>330</v>
      </c>
      <c r="J374" s="190">
        <v>0.03</v>
      </c>
      <c r="K374">
        <f t="shared" si="46"/>
        <v>334</v>
      </c>
      <c r="L374" s="62">
        <f t="shared" si="47"/>
        <v>366</v>
      </c>
      <c r="M374" s="287">
        <v>1.9</v>
      </c>
      <c r="N374" s="284">
        <f>VLOOKUP(5203,季財報!A:N,8,0)</f>
        <v>3</v>
      </c>
    </row>
    <row r="375" spans="1:14">
      <c r="A375" s="184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197">
        <v>0.04</v>
      </c>
      <c r="I375">
        <f t="shared" si="45"/>
        <v>330</v>
      </c>
      <c r="J375" s="190">
        <v>0.03</v>
      </c>
      <c r="K375">
        <f t="shared" si="46"/>
        <v>334</v>
      </c>
      <c r="L375" s="62">
        <f t="shared" si="47"/>
        <v>366</v>
      </c>
      <c r="M375" s="287">
        <v>1.9</v>
      </c>
      <c r="N375" s="284">
        <f>VLOOKUP(5371,季財報!A:N,8,0)</f>
        <v>1</v>
      </c>
    </row>
    <row r="376" spans="1:14">
      <c r="A376" s="184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197">
        <v>0.04</v>
      </c>
      <c r="I376">
        <f t="shared" si="45"/>
        <v>330</v>
      </c>
      <c r="J376" s="190">
        <v>0.03</v>
      </c>
      <c r="K376">
        <f t="shared" si="46"/>
        <v>334</v>
      </c>
      <c r="L376" s="62">
        <f t="shared" si="47"/>
        <v>366</v>
      </c>
      <c r="M376" s="287">
        <v>1.9</v>
      </c>
      <c r="N376" s="284">
        <f>VLOOKUP(4527,季財報!A:N,8,0)</f>
        <v>1</v>
      </c>
    </row>
    <row r="377" spans="1:14">
      <c r="A377" s="184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197">
        <v>0.04</v>
      </c>
      <c r="I377">
        <f t="shared" si="45"/>
        <v>330</v>
      </c>
      <c r="J377" s="190">
        <v>0.03</v>
      </c>
      <c r="K377">
        <f t="shared" si="46"/>
        <v>334</v>
      </c>
      <c r="L377" s="62">
        <f t="shared" si="47"/>
        <v>366</v>
      </c>
      <c r="M377" s="287">
        <v>1.9</v>
      </c>
      <c r="N377" s="284">
        <f>VLOOKUP(4536,季財報!A:N,8,0)</f>
        <v>5</v>
      </c>
    </row>
    <row r="378" spans="1:14">
      <c r="A378" s="184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197">
        <v>0.04</v>
      </c>
      <c r="I378">
        <f t="shared" si="45"/>
        <v>330</v>
      </c>
      <c r="J378" s="190">
        <v>0.03</v>
      </c>
      <c r="K378">
        <f t="shared" si="46"/>
        <v>334</v>
      </c>
      <c r="L378" s="62">
        <f t="shared" si="47"/>
        <v>366</v>
      </c>
      <c r="M378" s="287">
        <v>1.9</v>
      </c>
      <c r="N378" s="284">
        <f>VLOOKUP(1216,季財報!A:N,8,0)</f>
        <v>4</v>
      </c>
    </row>
    <row r="379" spans="1:14">
      <c r="A379" s="184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197">
        <v>0.04</v>
      </c>
      <c r="I379">
        <f t="shared" si="45"/>
        <v>330</v>
      </c>
      <c r="J379" s="190">
        <v>0.03</v>
      </c>
      <c r="K379">
        <f t="shared" si="46"/>
        <v>334</v>
      </c>
      <c r="L379" s="62">
        <f t="shared" si="47"/>
        <v>366</v>
      </c>
      <c r="M379" s="287">
        <v>1.9</v>
      </c>
      <c r="N379" s="284">
        <f>VLOOKUP(1338,季財報!A:N,8,0)</f>
        <v>2</v>
      </c>
    </row>
    <row r="380" spans="1:14">
      <c r="A380" s="184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197">
        <v>0.04</v>
      </c>
      <c r="I380">
        <f t="shared" si="45"/>
        <v>330</v>
      </c>
      <c r="J380" s="190">
        <v>0.03</v>
      </c>
      <c r="K380">
        <f t="shared" si="46"/>
        <v>334</v>
      </c>
      <c r="L380" s="62">
        <f t="shared" si="47"/>
        <v>366</v>
      </c>
      <c r="M380" s="287">
        <v>1.9</v>
      </c>
      <c r="N380" s="284">
        <f>VLOOKUP(1410,季財報!A:N,8,0)</f>
        <v>2</v>
      </c>
    </row>
    <row r="381" spans="1:14">
      <c r="A381" s="184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197">
        <v>0.04</v>
      </c>
      <c r="I381">
        <f t="shared" si="45"/>
        <v>330</v>
      </c>
      <c r="J381" s="190">
        <v>0.03</v>
      </c>
      <c r="K381">
        <f t="shared" si="46"/>
        <v>334</v>
      </c>
      <c r="L381" s="62">
        <f t="shared" si="47"/>
        <v>366</v>
      </c>
      <c r="M381" s="287">
        <v>1.9</v>
      </c>
      <c r="N381" s="284">
        <f>VLOOKUP(1451,季財報!A:N,8,0)</f>
        <v>3</v>
      </c>
    </row>
    <row r="382" spans="1:14">
      <c r="A382" s="184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197">
        <v>0.04</v>
      </c>
      <c r="I382">
        <f t="shared" si="45"/>
        <v>330</v>
      </c>
      <c r="J382" s="190">
        <v>0.03</v>
      </c>
      <c r="K382">
        <f t="shared" si="46"/>
        <v>334</v>
      </c>
      <c r="L382" s="62">
        <f t="shared" si="47"/>
        <v>366</v>
      </c>
      <c r="M382" s="287">
        <v>1.9</v>
      </c>
      <c r="N382" s="284">
        <f>VLOOKUP(1530,季財報!A:N,8,0)</f>
        <v>2</v>
      </c>
    </row>
    <row r="383" spans="1:14">
      <c r="A383" s="184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197">
        <v>0.04</v>
      </c>
      <c r="I383">
        <f t="shared" si="45"/>
        <v>330</v>
      </c>
      <c r="J383" s="190">
        <v>0.03</v>
      </c>
      <c r="K383">
        <f t="shared" si="46"/>
        <v>334</v>
      </c>
      <c r="L383" s="62">
        <f t="shared" si="47"/>
        <v>366</v>
      </c>
      <c r="M383" s="287">
        <v>1.9</v>
      </c>
      <c r="N383" s="284">
        <f>VLOOKUP(1583,季財報!A:N,8,0)</f>
        <v>1</v>
      </c>
    </row>
    <row r="384" spans="1:14">
      <c r="A384" s="184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197">
        <v>0.04</v>
      </c>
      <c r="I384">
        <f t="shared" si="45"/>
        <v>330</v>
      </c>
      <c r="J384" s="190">
        <v>0.03</v>
      </c>
      <c r="K384">
        <f t="shared" si="46"/>
        <v>334</v>
      </c>
      <c r="L384" s="62">
        <f t="shared" si="47"/>
        <v>366</v>
      </c>
      <c r="M384" s="287">
        <v>1.9</v>
      </c>
      <c r="N384" s="284">
        <f>VLOOKUP(1591,季財報!A:N,8,0)</f>
        <v>1</v>
      </c>
    </row>
    <row r="385" spans="1:14">
      <c r="A385" s="184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197">
        <v>0.04</v>
      </c>
      <c r="I385">
        <f t="shared" si="45"/>
        <v>330</v>
      </c>
      <c r="J385" s="190">
        <v>0.03</v>
      </c>
      <c r="K385">
        <f t="shared" si="46"/>
        <v>334</v>
      </c>
      <c r="L385" s="62">
        <f t="shared" si="47"/>
        <v>366</v>
      </c>
      <c r="M385" s="287">
        <v>1.9</v>
      </c>
      <c r="N385" s="284">
        <f>VLOOKUP(1773,季財報!A:N,8,0)</f>
        <v>5</v>
      </c>
    </row>
    <row r="386" spans="1:14">
      <c r="A386" s="184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197">
        <v>0.04</v>
      </c>
      <c r="I386">
        <f t="shared" si="45"/>
        <v>330</v>
      </c>
      <c r="J386" s="190">
        <v>0.03</v>
      </c>
      <c r="K386">
        <f t="shared" si="46"/>
        <v>334</v>
      </c>
      <c r="L386" s="62">
        <f t="shared" si="47"/>
        <v>366</v>
      </c>
      <c r="M386" s="287">
        <v>1.9</v>
      </c>
      <c r="N386" s="284">
        <f>VLOOKUP(2062,季財報!A:N,8,0)</f>
        <v>3</v>
      </c>
    </row>
    <row r="387" spans="1:14">
      <c r="A387" s="184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197">
        <v>0.04</v>
      </c>
      <c r="I387">
        <f t="shared" si="45"/>
        <v>330</v>
      </c>
      <c r="J387" s="190">
        <v>0.03</v>
      </c>
      <c r="K387">
        <f t="shared" si="46"/>
        <v>334</v>
      </c>
      <c r="L387" s="62">
        <f t="shared" si="47"/>
        <v>366</v>
      </c>
      <c r="M387" s="287">
        <v>1.84</v>
      </c>
      <c r="N387" s="284">
        <f>VLOOKUP(2104,季財報!A:N,8,0)</f>
        <v>1</v>
      </c>
    </row>
    <row r="388" spans="1:14">
      <c r="A388" s="184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197">
        <v>0.04</v>
      </c>
      <c r="I388">
        <f t="shared" si="45"/>
        <v>330</v>
      </c>
      <c r="J388" s="190">
        <v>0.03</v>
      </c>
      <c r="K388">
        <f t="shared" si="46"/>
        <v>334</v>
      </c>
      <c r="L388" s="62">
        <f t="shared" si="47"/>
        <v>366</v>
      </c>
      <c r="M388" s="287">
        <v>1.84</v>
      </c>
      <c r="N388" s="284">
        <f>VLOOKUP(2236,季財報!A:N,8,0)</f>
        <v>1</v>
      </c>
    </row>
    <row r="389" spans="1:14">
      <c r="A389" s="184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197">
        <v>0.04</v>
      </c>
      <c r="I389">
        <f t="shared" si="45"/>
        <v>330</v>
      </c>
      <c r="J389" s="190">
        <v>0.03</v>
      </c>
      <c r="K389">
        <f t="shared" si="46"/>
        <v>334</v>
      </c>
      <c r="L389" s="62">
        <f t="shared" si="47"/>
        <v>366</v>
      </c>
      <c r="M389" s="287">
        <v>1.84</v>
      </c>
      <c r="N389" s="284">
        <f>VLOOKUP(2311,季財報!A:N,8,0)</f>
        <v>2</v>
      </c>
    </row>
    <row r="390" spans="1:14">
      <c r="A390" s="184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197">
        <v>0.04</v>
      </c>
      <c r="I390">
        <f t="shared" si="45"/>
        <v>330</v>
      </c>
      <c r="J390" s="190">
        <v>0.03</v>
      </c>
      <c r="K390">
        <f t="shared" si="46"/>
        <v>334</v>
      </c>
      <c r="L390" s="62">
        <f t="shared" si="47"/>
        <v>366</v>
      </c>
      <c r="M390" s="287">
        <v>1.84</v>
      </c>
      <c r="N390" s="284">
        <f>VLOOKUP(2329,季財報!A:N,8,0)</f>
        <v>2</v>
      </c>
    </row>
    <row r="391" spans="1:14">
      <c r="A391" s="184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197">
        <v>0.04</v>
      </c>
      <c r="I391">
        <f t="shared" si="45"/>
        <v>330</v>
      </c>
      <c r="J391" s="190">
        <v>0.03</v>
      </c>
      <c r="K391">
        <f t="shared" si="46"/>
        <v>334</v>
      </c>
      <c r="L391" s="62">
        <f t="shared" si="47"/>
        <v>366</v>
      </c>
      <c r="M391" s="287">
        <v>1.84</v>
      </c>
      <c r="N391" s="284">
        <f>VLOOKUP(2354,季財報!A:N,8,0)</f>
        <v>0</v>
      </c>
    </row>
    <row r="392" spans="1:14">
      <c r="A392" s="184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197">
        <v>0.04</v>
      </c>
      <c r="I392">
        <f t="shared" si="45"/>
        <v>330</v>
      </c>
      <c r="J392" s="190">
        <v>0.03</v>
      </c>
      <c r="K392">
        <f t="shared" si="46"/>
        <v>334</v>
      </c>
      <c r="L392" s="62">
        <f t="shared" si="47"/>
        <v>366</v>
      </c>
      <c r="M392" s="287">
        <v>1.84</v>
      </c>
      <c r="N392" s="284">
        <f>VLOOKUP(2387,季財報!A:N,8,0)</f>
        <v>4</v>
      </c>
    </row>
    <row r="393" spans="1:14">
      <c r="A393" s="184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197">
        <v>0.04</v>
      </c>
      <c r="I393">
        <f t="shared" si="45"/>
        <v>330</v>
      </c>
      <c r="J393" s="190">
        <v>0.03</v>
      </c>
      <c r="K393">
        <f t="shared" si="46"/>
        <v>334</v>
      </c>
      <c r="L393" s="62">
        <f t="shared" si="47"/>
        <v>366</v>
      </c>
      <c r="M393" s="287">
        <v>1.84</v>
      </c>
      <c r="N393" s="284">
        <f>VLOOKUP(2397,季財報!A:N,8,0)</f>
        <v>3</v>
      </c>
    </row>
    <row r="394" spans="1:14">
      <c r="A394" s="184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197">
        <v>0.04</v>
      </c>
      <c r="I394">
        <f t="shared" si="45"/>
        <v>330</v>
      </c>
      <c r="J394" s="190">
        <v>0.03</v>
      </c>
      <c r="K394">
        <f t="shared" si="46"/>
        <v>334</v>
      </c>
      <c r="L394" s="62">
        <f t="shared" si="47"/>
        <v>366</v>
      </c>
      <c r="M394" s="287">
        <v>1.84</v>
      </c>
      <c r="N394" s="284">
        <f>VLOOKUP(2425,季財報!A:N,8,0)</f>
        <v>2</v>
      </c>
    </row>
    <row r="395" spans="1:14">
      <c r="A395" s="184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197">
        <v>0.04</v>
      </c>
      <c r="I395">
        <f t="shared" si="45"/>
        <v>330</v>
      </c>
      <c r="J395" s="190">
        <v>0.03</v>
      </c>
      <c r="K395">
        <f t="shared" si="46"/>
        <v>334</v>
      </c>
      <c r="L395" s="62">
        <f t="shared" si="47"/>
        <v>366</v>
      </c>
      <c r="M395" s="287">
        <v>1.84</v>
      </c>
      <c r="N395" s="284">
        <f>VLOOKUP(2477,季財報!A:N,8,0)</f>
        <v>4</v>
      </c>
    </row>
    <row r="396" spans="1:14">
      <c r="A396" s="184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197">
        <v>0.04</v>
      </c>
      <c r="I396">
        <f t="shared" si="45"/>
        <v>330</v>
      </c>
      <c r="J396" s="190">
        <v>0.03</v>
      </c>
      <c r="K396">
        <f t="shared" si="46"/>
        <v>334</v>
      </c>
      <c r="L396" s="62">
        <f t="shared" si="47"/>
        <v>366</v>
      </c>
      <c r="M396" s="287">
        <v>1.84</v>
      </c>
      <c r="N396" s="284">
        <f>VLOOKUP(2480,季財報!A:N,8,0)</f>
        <v>3</v>
      </c>
    </row>
    <row r="397" spans="1:14">
      <c r="A397" s="184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197">
        <v>0.04</v>
      </c>
      <c r="I397">
        <f t="shared" si="45"/>
        <v>330</v>
      </c>
      <c r="J397" s="190">
        <v>0.03</v>
      </c>
      <c r="K397">
        <f t="shared" si="46"/>
        <v>334</v>
      </c>
      <c r="L397" s="62">
        <f t="shared" si="47"/>
        <v>366</v>
      </c>
      <c r="M397" s="287">
        <v>1.84</v>
      </c>
      <c r="N397" s="284">
        <f>VLOOKUP(3511,季財報!A:N,8,0)</f>
        <v>4</v>
      </c>
    </row>
    <row r="398" spans="1:14">
      <c r="A398" s="184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197">
        <v>0.04</v>
      </c>
      <c r="I398">
        <f t="shared" si="45"/>
        <v>330</v>
      </c>
      <c r="J398" s="190">
        <v>0.03</v>
      </c>
      <c r="K398">
        <f t="shared" si="46"/>
        <v>334</v>
      </c>
      <c r="L398" s="62">
        <f t="shared" si="47"/>
        <v>366</v>
      </c>
      <c r="M398" s="287">
        <v>1.84</v>
      </c>
      <c r="N398" s="284">
        <f>VLOOKUP(3521,季財報!A:N,8,0)</f>
        <v>3</v>
      </c>
    </row>
    <row r="399" spans="1:14">
      <c r="A399" s="184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197">
        <v>0.04</v>
      </c>
      <c r="I399">
        <f t="shared" si="45"/>
        <v>330</v>
      </c>
      <c r="J399" s="190">
        <v>0.03</v>
      </c>
      <c r="K399">
        <f t="shared" si="46"/>
        <v>334</v>
      </c>
      <c r="L399" s="62">
        <f t="shared" si="47"/>
        <v>366</v>
      </c>
      <c r="M399" s="287">
        <v>1.84</v>
      </c>
      <c r="N399" s="284">
        <f>VLOOKUP(3533,季財報!A:N,8,0)</f>
        <v>5</v>
      </c>
    </row>
    <row r="400" spans="1:14">
      <c r="A400" s="184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197">
        <v>0.04</v>
      </c>
      <c r="I400">
        <f t="shared" si="45"/>
        <v>330</v>
      </c>
      <c r="J400" s="190">
        <v>0.03</v>
      </c>
      <c r="K400">
        <f t="shared" si="46"/>
        <v>334</v>
      </c>
      <c r="L400" s="62">
        <f t="shared" si="47"/>
        <v>366</v>
      </c>
      <c r="M400" s="287">
        <v>1.84</v>
      </c>
      <c r="N400" s="284">
        <f>VLOOKUP(3556,季財報!A:N,8,0)</f>
        <v>1</v>
      </c>
    </row>
    <row r="401" spans="1:14">
      <c r="A401" s="184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197">
        <v>0.04</v>
      </c>
      <c r="I401">
        <f t="shared" si="45"/>
        <v>330</v>
      </c>
      <c r="J401" s="190">
        <v>0.03</v>
      </c>
      <c r="K401">
        <f t="shared" si="46"/>
        <v>334</v>
      </c>
      <c r="L401" s="62">
        <f t="shared" si="47"/>
        <v>366</v>
      </c>
      <c r="M401" s="287">
        <v>1.84</v>
      </c>
      <c r="N401" s="284">
        <f>VLOOKUP(3679,季財報!A:N,8,0)</f>
        <v>3</v>
      </c>
    </row>
    <row r="402" spans="1:14">
      <c r="A402" s="184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197">
        <v>0.04</v>
      </c>
      <c r="I402">
        <f t="shared" si="45"/>
        <v>330</v>
      </c>
      <c r="J402" s="190">
        <v>0.03</v>
      </c>
      <c r="K402">
        <f t="shared" si="46"/>
        <v>334</v>
      </c>
      <c r="L402" s="62">
        <f t="shared" si="47"/>
        <v>366</v>
      </c>
      <c r="M402" s="287">
        <v>1.84</v>
      </c>
      <c r="N402" s="284">
        <f>VLOOKUP(3705,季財報!A:N,8,0)</f>
        <v>2</v>
      </c>
    </row>
    <row r="403" spans="1:14">
      <c r="A403" s="184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197">
        <v>0.04</v>
      </c>
      <c r="I403">
        <f t="shared" si="45"/>
        <v>330</v>
      </c>
      <c r="J403" s="190">
        <v>0.03</v>
      </c>
      <c r="K403">
        <f t="shared" si="46"/>
        <v>334</v>
      </c>
      <c r="L403" s="62">
        <f t="shared" si="47"/>
        <v>366</v>
      </c>
      <c r="M403" s="287">
        <v>1.84</v>
      </c>
      <c r="N403" s="284">
        <f>VLOOKUP(4119,季財報!A:N,8,0)</f>
        <v>2</v>
      </c>
    </row>
    <row r="404" spans="1:14">
      <c r="A404" s="184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197">
        <v>0.04</v>
      </c>
      <c r="I404">
        <f t="shared" si="45"/>
        <v>330</v>
      </c>
      <c r="J404" s="190">
        <v>0.03</v>
      </c>
      <c r="K404">
        <f t="shared" si="46"/>
        <v>334</v>
      </c>
      <c r="L404" s="62">
        <f t="shared" si="47"/>
        <v>366</v>
      </c>
      <c r="M404" s="287">
        <v>1.76</v>
      </c>
      <c r="N404" s="284">
        <f>VLOOKUP(6279,季財報!A:N,8,0)</f>
        <v>1</v>
      </c>
    </row>
    <row r="405" spans="1:14">
      <c r="A405" s="184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197">
        <v>0.04</v>
      </c>
      <c r="I405">
        <f t="shared" si="45"/>
        <v>330</v>
      </c>
      <c r="J405" s="190">
        <v>0.03</v>
      </c>
      <c r="K405">
        <f t="shared" si="46"/>
        <v>334</v>
      </c>
      <c r="L405" s="62">
        <f t="shared" si="47"/>
        <v>366</v>
      </c>
      <c r="M405" s="287">
        <v>1.58</v>
      </c>
      <c r="N405" s="284">
        <f>VLOOKUP(6151,季財報!A:N,8,0)</f>
        <v>2</v>
      </c>
    </row>
    <row r="406" spans="1:14">
      <c r="A406" s="184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197">
        <v>0.04</v>
      </c>
      <c r="I406">
        <f t="shared" si="45"/>
        <v>330</v>
      </c>
      <c r="J406" s="190">
        <v>0.03</v>
      </c>
      <c r="K406">
        <f t="shared" si="46"/>
        <v>334</v>
      </c>
      <c r="L406" s="62">
        <f t="shared" si="47"/>
        <v>366</v>
      </c>
      <c r="M406" s="287">
        <v>1.62</v>
      </c>
      <c r="N406" s="284">
        <f>VLOOKUP(4535,季財報!A:N,8,0)</f>
        <v>4</v>
      </c>
    </row>
    <row r="407" spans="1:14">
      <c r="A407" s="184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197">
        <v>0.04</v>
      </c>
      <c r="I407">
        <f t="shared" si="45"/>
        <v>330</v>
      </c>
      <c r="J407" s="190">
        <v>0.03</v>
      </c>
      <c r="K407">
        <f t="shared" si="46"/>
        <v>334</v>
      </c>
      <c r="L407" s="62">
        <f t="shared" si="47"/>
        <v>366</v>
      </c>
      <c r="M407" s="287">
        <v>1.59</v>
      </c>
      <c r="N407" s="284">
        <f>VLOOKUP(4735,季財報!A:N,8,0)</f>
        <v>3</v>
      </c>
    </row>
    <row r="408" spans="1:14">
      <c r="A408" s="184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197">
        <v>0.04</v>
      </c>
      <c r="I408">
        <f t="shared" si="45"/>
        <v>330</v>
      </c>
      <c r="J408" s="190">
        <v>0.03</v>
      </c>
      <c r="K408">
        <f t="shared" si="46"/>
        <v>334</v>
      </c>
      <c r="L408" s="62">
        <f t="shared" si="47"/>
        <v>366</v>
      </c>
      <c r="M408" s="287">
        <v>1.59</v>
      </c>
      <c r="N408" s="284">
        <f>VLOOKUP(1203,季財報!A:N,8,0)</f>
        <v>5</v>
      </c>
    </row>
    <row r="409" spans="1:14">
      <c r="A409" s="184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197">
        <v>0.04</v>
      </c>
      <c r="I409">
        <f t="shared" si="45"/>
        <v>330</v>
      </c>
      <c r="J409" s="190">
        <v>0.03</v>
      </c>
      <c r="K409">
        <f t="shared" si="46"/>
        <v>334</v>
      </c>
      <c r="L409" s="62">
        <f t="shared" si="47"/>
        <v>366</v>
      </c>
      <c r="M409" s="287">
        <v>1.59</v>
      </c>
      <c r="N409" s="284">
        <f>VLOOKUP(1532,季財報!A:N,8,0)</f>
        <v>4</v>
      </c>
    </row>
    <row r="410" spans="1:14">
      <c r="A410" s="184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197">
        <v>0.04</v>
      </c>
      <c r="I410">
        <f t="shared" si="45"/>
        <v>330</v>
      </c>
      <c r="J410" s="190">
        <v>0.03</v>
      </c>
      <c r="K410">
        <f t="shared" si="46"/>
        <v>334</v>
      </c>
      <c r="L410" s="62">
        <f t="shared" si="47"/>
        <v>366</v>
      </c>
      <c r="M410" s="287">
        <v>1.59</v>
      </c>
      <c r="N410" s="284">
        <f>VLOOKUP(1704,季財報!A:N,8,0)</f>
        <v>4</v>
      </c>
    </row>
    <row r="411" spans="1:14">
      <c r="A411" s="184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197">
        <v>0.04</v>
      </c>
      <c r="I411">
        <f t="shared" si="45"/>
        <v>330</v>
      </c>
      <c r="J411" s="190">
        <v>0.03</v>
      </c>
      <c r="K411">
        <f t="shared" si="46"/>
        <v>334</v>
      </c>
      <c r="L411" s="62">
        <f t="shared" si="47"/>
        <v>366</v>
      </c>
      <c r="M411" s="287">
        <v>1.59</v>
      </c>
      <c r="N411" s="284">
        <f>VLOOKUP(3032,季財報!A:N,8,0)</f>
        <v>4</v>
      </c>
    </row>
    <row r="412" spans="1:14">
      <c r="A412" s="184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197">
        <v>0.04</v>
      </c>
      <c r="I412">
        <f t="shared" si="45"/>
        <v>330</v>
      </c>
      <c r="J412" s="190">
        <v>0.03</v>
      </c>
      <c r="K412">
        <f t="shared" si="46"/>
        <v>334</v>
      </c>
      <c r="L412" s="62">
        <f t="shared" si="47"/>
        <v>366</v>
      </c>
      <c r="M412" s="287">
        <v>1.58</v>
      </c>
      <c r="N412" s="284">
        <f>VLOOKUP(3169,季財報!A:N,8,0)</f>
        <v>1</v>
      </c>
    </row>
    <row r="413" spans="1:14">
      <c r="A413" s="184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197">
        <v>0.04</v>
      </c>
      <c r="I413">
        <f t="shared" si="45"/>
        <v>330</v>
      </c>
      <c r="J413" s="190">
        <v>0.03</v>
      </c>
      <c r="K413">
        <f t="shared" si="46"/>
        <v>334</v>
      </c>
      <c r="L413" s="62">
        <f t="shared" si="47"/>
        <v>366</v>
      </c>
      <c r="M413" s="287">
        <v>1.58</v>
      </c>
      <c r="N413" s="284">
        <f>VLOOKUP(4109,季財報!A:N,8,0)</f>
        <v>2</v>
      </c>
    </row>
    <row r="414" spans="1:14">
      <c r="A414" s="184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197">
        <v>0.03</v>
      </c>
      <c r="I414">
        <f t="shared" ref="I414:I421" si="48">RANK(0.03,H:H,0)</f>
        <v>466</v>
      </c>
      <c r="J414" s="190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287">
        <v>1.58</v>
      </c>
      <c r="N414" s="284">
        <f>VLOOKUP(8074,季財報!A:N,8,0)</f>
        <v>4</v>
      </c>
    </row>
    <row r="415" spans="1:14">
      <c r="A415" s="184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197">
        <v>0.03</v>
      </c>
      <c r="I415">
        <f t="shared" si="48"/>
        <v>466</v>
      </c>
      <c r="J415" s="190">
        <v>0.04</v>
      </c>
      <c r="K415">
        <f t="shared" si="49"/>
        <v>220</v>
      </c>
      <c r="L415" s="62">
        <f t="shared" si="50"/>
        <v>413</v>
      </c>
      <c r="M415" s="287">
        <v>1.58</v>
      </c>
      <c r="N415" s="284">
        <f>VLOOKUP(6271,季財報!A:N,8,0)</f>
        <v>2</v>
      </c>
    </row>
    <row r="416" spans="1:14">
      <c r="A416" s="184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197">
        <v>0.03</v>
      </c>
      <c r="I416">
        <f t="shared" si="48"/>
        <v>466</v>
      </c>
      <c r="J416" s="190">
        <v>0.04</v>
      </c>
      <c r="K416">
        <f t="shared" si="49"/>
        <v>220</v>
      </c>
      <c r="L416" s="62">
        <f t="shared" si="50"/>
        <v>413</v>
      </c>
      <c r="M416" s="287">
        <v>1.58</v>
      </c>
      <c r="N416" s="284">
        <f>VLOOKUP(6105,季財報!A:N,8,0)</f>
        <v>2</v>
      </c>
    </row>
    <row r="417" spans="1:14">
      <c r="A417" s="184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197">
        <v>0.03</v>
      </c>
      <c r="I417">
        <f t="shared" si="48"/>
        <v>466</v>
      </c>
      <c r="J417" s="190">
        <v>0.04</v>
      </c>
      <c r="K417">
        <f t="shared" si="49"/>
        <v>220</v>
      </c>
      <c r="L417" s="62">
        <f t="shared" si="50"/>
        <v>413</v>
      </c>
      <c r="M417" s="287">
        <v>1.58</v>
      </c>
      <c r="N417" s="284">
        <f>VLOOKUP(6239,季財報!A:N,8,0)</f>
        <v>4</v>
      </c>
    </row>
    <row r="418" spans="1:14">
      <c r="A418" s="184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197">
        <v>0.03</v>
      </c>
      <c r="I418">
        <f t="shared" si="48"/>
        <v>466</v>
      </c>
      <c r="J418" s="190">
        <v>0.04</v>
      </c>
      <c r="K418">
        <f t="shared" si="49"/>
        <v>220</v>
      </c>
      <c r="L418" s="62">
        <f t="shared" si="50"/>
        <v>413</v>
      </c>
      <c r="M418" s="287">
        <v>1.48</v>
      </c>
      <c r="N418" s="284">
        <f>VLOOKUP(4737,季財報!A:N,8,0)</f>
        <v>3</v>
      </c>
    </row>
    <row r="419" spans="1:14">
      <c r="A419" s="184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197">
        <v>0.03</v>
      </c>
      <c r="I419">
        <f t="shared" si="48"/>
        <v>466</v>
      </c>
      <c r="J419" s="190">
        <v>0.04</v>
      </c>
      <c r="K419">
        <f t="shared" si="49"/>
        <v>220</v>
      </c>
      <c r="L419" s="62">
        <f t="shared" si="50"/>
        <v>413</v>
      </c>
      <c r="M419" s="287">
        <v>1.58</v>
      </c>
      <c r="N419" s="284">
        <f>VLOOKUP(1307,季財報!A:N,8,0)</f>
        <v>5</v>
      </c>
    </row>
    <row r="420" spans="1:14">
      <c r="A420" s="184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197">
        <v>0.03</v>
      </c>
      <c r="I420">
        <f t="shared" si="48"/>
        <v>466</v>
      </c>
      <c r="J420" s="190">
        <v>0.04</v>
      </c>
      <c r="K420">
        <f t="shared" si="49"/>
        <v>220</v>
      </c>
      <c r="L420" s="62">
        <f t="shared" si="50"/>
        <v>413</v>
      </c>
      <c r="M420" s="287">
        <v>1.58</v>
      </c>
      <c r="N420" s="284">
        <f>VLOOKUP(1717,季財報!A:N,8,0)</f>
        <v>3</v>
      </c>
    </row>
    <row r="421" spans="1:14">
      <c r="A421" s="184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197">
        <v>0.03</v>
      </c>
      <c r="I421">
        <f t="shared" si="48"/>
        <v>466</v>
      </c>
      <c r="J421" s="190">
        <v>0.04</v>
      </c>
      <c r="K421">
        <f t="shared" si="49"/>
        <v>220</v>
      </c>
      <c r="L421" s="62">
        <f t="shared" si="50"/>
        <v>413</v>
      </c>
      <c r="M421" s="287">
        <v>1.58</v>
      </c>
      <c r="N421" s="284">
        <f>VLOOKUP(2109,季財報!A:N,8,0)</f>
        <v>1</v>
      </c>
    </row>
    <row r="422" spans="1:14">
      <c r="A422" s="184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197">
        <v>0.88</v>
      </c>
      <c r="I422">
        <f>RANK(0.88,H:H,0)</f>
        <v>1</v>
      </c>
      <c r="J422" s="190">
        <v>0.01</v>
      </c>
      <c r="K422">
        <f>RANK(0.01,J:J,0)</f>
        <v>708</v>
      </c>
      <c r="L422" s="62">
        <f>RANK(2.14,M:M,0)</f>
        <v>421</v>
      </c>
      <c r="M422" s="287">
        <v>1.58</v>
      </c>
      <c r="N422" s="284">
        <f>VLOOKUP(5902,季財報!A:N,8,0)</f>
        <v>3</v>
      </c>
    </row>
    <row r="423" spans="1:14">
      <c r="A423" s="184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197">
        <v>0.49</v>
      </c>
      <c r="I423">
        <f>RANK(0.49,H:H,0)</f>
        <v>4</v>
      </c>
      <c r="J423" s="190">
        <v>0.01</v>
      </c>
      <c r="K423">
        <f>RANK(0.01,J:J,0)</f>
        <v>708</v>
      </c>
      <c r="L423" s="62">
        <f>RANK(2.13,M:M,0)</f>
        <v>422</v>
      </c>
      <c r="M423" s="287">
        <v>1.58</v>
      </c>
      <c r="N423" s="284">
        <f>VLOOKUP(2362,季財報!A:N,8,0)</f>
        <v>1</v>
      </c>
    </row>
    <row r="424" spans="1:14">
      <c r="A424" s="184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197">
        <v>0.35</v>
      </c>
      <c r="I424">
        <f>RANK(0.35,H:H,0)</f>
        <v>7</v>
      </c>
      <c r="J424" s="190">
        <v>0.01</v>
      </c>
      <c r="K424">
        <f>RANK(0.01,J:J,0)</f>
        <v>708</v>
      </c>
      <c r="L424" s="62">
        <f>RANK(2.12,M:M,0)</f>
        <v>423</v>
      </c>
      <c r="M424" s="287">
        <v>1.58</v>
      </c>
      <c r="N424" s="284">
        <f>VLOOKUP(8913,季財報!A:N,8,0)</f>
        <v>6</v>
      </c>
    </row>
    <row r="425" spans="1:14">
      <c r="A425" s="184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197">
        <v>0.18</v>
      </c>
      <c r="I425">
        <f>RANK(0.18,H:H,0)</f>
        <v>11</v>
      </c>
      <c r="J425" s="190">
        <v>0.01</v>
      </c>
      <c r="K425">
        <f>RANK(0.01,J:J,0)</f>
        <v>708</v>
      </c>
      <c r="L425" s="62">
        <f>RANK(2.11,M:M,0)</f>
        <v>424</v>
      </c>
      <c r="M425" s="287">
        <v>1.58</v>
      </c>
      <c r="N425" s="284">
        <f>VLOOKUP(8926,季財報!A:N,8,0)</f>
        <v>3</v>
      </c>
    </row>
    <row r="426" spans="1:14">
      <c r="A426" s="184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197">
        <v>0.05</v>
      </c>
      <c r="I426">
        <f t="shared" ref="I426:I436" si="51">RANK(0.05,H:H,0)</f>
        <v>231</v>
      </c>
      <c r="J426" s="190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287">
        <v>1.58</v>
      </c>
      <c r="N426" s="284">
        <f>VLOOKUP(9935,季財報!A:N,8,0)</f>
        <v>2</v>
      </c>
    </row>
    <row r="427" spans="1:14">
      <c r="A427" s="184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197">
        <v>0.05</v>
      </c>
      <c r="I427">
        <f t="shared" si="51"/>
        <v>231</v>
      </c>
      <c r="J427" s="190">
        <v>0.02</v>
      </c>
      <c r="K427">
        <f t="shared" si="52"/>
        <v>496</v>
      </c>
      <c r="L427" s="62">
        <f t="shared" si="53"/>
        <v>425</v>
      </c>
      <c r="M427" s="287">
        <v>1.58</v>
      </c>
      <c r="N427" s="284">
        <f>VLOOKUP(5525,季財報!A:N,8,0)</f>
        <v>1</v>
      </c>
    </row>
    <row r="428" spans="1:14">
      <c r="A428" s="184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197">
        <v>0.05</v>
      </c>
      <c r="I428">
        <f t="shared" si="51"/>
        <v>231</v>
      </c>
      <c r="J428" s="190">
        <v>0.02</v>
      </c>
      <c r="K428">
        <f t="shared" si="52"/>
        <v>496</v>
      </c>
      <c r="L428" s="62">
        <f t="shared" si="53"/>
        <v>425</v>
      </c>
      <c r="M428" s="287">
        <v>1.58</v>
      </c>
      <c r="N428" s="284">
        <f>VLOOKUP(5522,季財報!A:N,8,0)</f>
        <v>1</v>
      </c>
    </row>
    <row r="429" spans="1:14">
      <c r="A429" s="184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197">
        <v>0.05</v>
      </c>
      <c r="I429">
        <f t="shared" si="51"/>
        <v>231</v>
      </c>
      <c r="J429" s="190">
        <v>0.02</v>
      </c>
      <c r="K429">
        <f t="shared" si="52"/>
        <v>496</v>
      </c>
      <c r="L429" s="62">
        <f t="shared" si="53"/>
        <v>425</v>
      </c>
      <c r="M429" s="287">
        <v>1.58</v>
      </c>
      <c r="N429" s="284">
        <f>VLOOKUP(5607,季財報!A:N,8,0)</f>
        <v>4</v>
      </c>
    </row>
    <row r="430" spans="1:14">
      <c r="A430" s="184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197">
        <v>0.05</v>
      </c>
      <c r="I430">
        <f t="shared" si="51"/>
        <v>231</v>
      </c>
      <c r="J430" s="190">
        <v>0.02</v>
      </c>
      <c r="K430">
        <f t="shared" si="52"/>
        <v>496</v>
      </c>
      <c r="L430" s="62">
        <f t="shared" si="53"/>
        <v>425</v>
      </c>
      <c r="M430" s="287">
        <v>1.58</v>
      </c>
      <c r="N430" s="284">
        <f>VLOOKUP(2347,季財報!A:N,8,0)</f>
        <v>0</v>
      </c>
    </row>
    <row r="431" spans="1:14">
      <c r="A431" s="184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197">
        <v>0.05</v>
      </c>
      <c r="I431">
        <f t="shared" si="51"/>
        <v>231</v>
      </c>
      <c r="J431" s="190">
        <v>0.02</v>
      </c>
      <c r="K431">
        <f t="shared" si="52"/>
        <v>496</v>
      </c>
      <c r="L431" s="62">
        <f t="shared" si="53"/>
        <v>425</v>
      </c>
      <c r="M431" s="287">
        <v>1.58</v>
      </c>
      <c r="N431" s="284">
        <f>VLOOKUP(3033,季財報!A:N,8,0)</f>
        <v>3</v>
      </c>
    </row>
    <row r="432" spans="1:14">
      <c r="A432" s="184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197">
        <v>0.05</v>
      </c>
      <c r="I432">
        <f t="shared" si="51"/>
        <v>231</v>
      </c>
      <c r="J432" s="190">
        <v>0.02</v>
      </c>
      <c r="K432">
        <f t="shared" si="52"/>
        <v>496</v>
      </c>
      <c r="L432" s="62">
        <f t="shared" si="53"/>
        <v>425</v>
      </c>
      <c r="M432" s="287">
        <v>1.58</v>
      </c>
      <c r="N432" s="284">
        <f>VLOOKUP(3036,季財報!A:N,8,0)</f>
        <v>1</v>
      </c>
    </row>
    <row r="433" spans="1:14">
      <c r="A433" s="184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197">
        <v>0.05</v>
      </c>
      <c r="I433">
        <f t="shared" si="51"/>
        <v>231</v>
      </c>
      <c r="J433" s="190">
        <v>0.02</v>
      </c>
      <c r="K433">
        <f t="shared" si="52"/>
        <v>496</v>
      </c>
      <c r="L433" s="62">
        <f t="shared" si="53"/>
        <v>425</v>
      </c>
      <c r="M433" s="287">
        <v>1.58</v>
      </c>
      <c r="N433" s="284">
        <f>VLOOKUP(3702,季財報!A:N,8,0)</f>
        <v>1</v>
      </c>
    </row>
    <row r="434" spans="1:14">
      <c r="A434" s="184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197">
        <v>0.05</v>
      </c>
      <c r="I434">
        <f t="shared" si="51"/>
        <v>231</v>
      </c>
      <c r="J434" s="190">
        <v>0.02</v>
      </c>
      <c r="K434">
        <f t="shared" si="52"/>
        <v>496</v>
      </c>
      <c r="L434" s="62">
        <f t="shared" si="53"/>
        <v>425</v>
      </c>
      <c r="M434" s="287">
        <v>1.58</v>
      </c>
      <c r="N434" s="284">
        <f>VLOOKUP(1592,季財報!A:N,8,0)</f>
        <v>3</v>
      </c>
    </row>
    <row r="435" spans="1:14">
      <c r="A435" s="184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197">
        <v>0.05</v>
      </c>
      <c r="I435">
        <f t="shared" si="51"/>
        <v>231</v>
      </c>
      <c r="J435" s="190">
        <v>0.02</v>
      </c>
      <c r="K435">
        <f t="shared" si="52"/>
        <v>496</v>
      </c>
      <c r="L435" s="62">
        <f t="shared" si="53"/>
        <v>425</v>
      </c>
      <c r="M435" s="287">
        <v>1.58</v>
      </c>
      <c r="N435" s="284">
        <f>VLOOKUP(1613,季財報!A:N,8,0)</f>
        <v>1</v>
      </c>
    </row>
    <row r="436" spans="1:14">
      <c r="A436" s="184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197">
        <v>0.05</v>
      </c>
      <c r="I436">
        <f t="shared" si="51"/>
        <v>231</v>
      </c>
      <c r="J436" s="190">
        <v>0.02</v>
      </c>
      <c r="K436">
        <f t="shared" si="52"/>
        <v>496</v>
      </c>
      <c r="L436" s="62">
        <f t="shared" si="53"/>
        <v>425</v>
      </c>
      <c r="M436" s="287">
        <v>1.58</v>
      </c>
      <c r="N436" s="284">
        <f>VLOOKUP(2634,季財報!A:N,8,0)</f>
        <v>3</v>
      </c>
    </row>
    <row r="437" spans="1:14">
      <c r="A437" s="184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197">
        <v>0.03</v>
      </c>
      <c r="I437">
        <f t="shared" ref="I437:I468" si="54">RANK(0.03,H:H,0)</f>
        <v>466</v>
      </c>
      <c r="J437" s="190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287">
        <v>1.58</v>
      </c>
      <c r="N437" s="284">
        <f>VLOOKUP(8271,季財報!A:N,8,0)</f>
        <v>2</v>
      </c>
    </row>
    <row r="438" spans="1:14">
      <c r="A438" s="184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197">
        <v>0.03</v>
      </c>
      <c r="I438">
        <f t="shared" si="54"/>
        <v>466</v>
      </c>
      <c r="J438" s="190">
        <v>0.03</v>
      </c>
      <c r="K438">
        <f t="shared" si="55"/>
        <v>334</v>
      </c>
      <c r="L438" s="62">
        <f t="shared" si="56"/>
        <v>436</v>
      </c>
      <c r="M438" s="287">
        <v>1.58</v>
      </c>
      <c r="N438" s="284">
        <f>VLOOKUP(8079,季財報!A:N,8,0)</f>
        <v>3</v>
      </c>
    </row>
    <row r="439" spans="1:14">
      <c r="A439" s="184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197">
        <v>0.03</v>
      </c>
      <c r="I439">
        <f t="shared" si="54"/>
        <v>466</v>
      </c>
      <c r="J439" s="190">
        <v>0.03</v>
      </c>
      <c r="K439">
        <f t="shared" si="55"/>
        <v>334</v>
      </c>
      <c r="L439" s="62">
        <f t="shared" si="56"/>
        <v>436</v>
      </c>
      <c r="M439" s="287">
        <v>1.58</v>
      </c>
      <c r="N439" s="284">
        <f>VLOOKUP(8131,季財報!A:N,8,0)</f>
        <v>2</v>
      </c>
    </row>
    <row r="440" spans="1:14">
      <c r="A440" s="184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197">
        <v>0.03</v>
      </c>
      <c r="I440">
        <f t="shared" si="54"/>
        <v>466</v>
      </c>
      <c r="J440" s="190">
        <v>0.03</v>
      </c>
      <c r="K440">
        <f t="shared" si="55"/>
        <v>334</v>
      </c>
      <c r="L440" s="62">
        <f t="shared" si="56"/>
        <v>436</v>
      </c>
      <c r="M440" s="287">
        <v>1.58</v>
      </c>
      <c r="N440" s="284">
        <f>VLOOKUP(6278,季財報!A:N,8,0)</f>
        <v>1</v>
      </c>
    </row>
    <row r="441" spans="1:14">
      <c r="A441" s="184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197">
        <v>0.03</v>
      </c>
      <c r="I441">
        <f t="shared" si="54"/>
        <v>466</v>
      </c>
      <c r="J441" s="190">
        <v>0.03</v>
      </c>
      <c r="K441">
        <f t="shared" si="55"/>
        <v>334</v>
      </c>
      <c r="L441" s="62">
        <f t="shared" si="56"/>
        <v>436</v>
      </c>
      <c r="M441" s="287">
        <v>1.58</v>
      </c>
      <c r="N441" s="284">
        <f>VLOOKUP(8021,季財報!A:N,8,0)</f>
        <v>4</v>
      </c>
    </row>
    <row r="442" spans="1:14">
      <c r="A442" s="184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197">
        <v>0.03</v>
      </c>
      <c r="I442">
        <f t="shared" si="54"/>
        <v>466</v>
      </c>
      <c r="J442" s="190">
        <v>0.03</v>
      </c>
      <c r="K442">
        <f t="shared" si="55"/>
        <v>334</v>
      </c>
      <c r="L442" s="62">
        <f t="shared" si="56"/>
        <v>436</v>
      </c>
      <c r="M442" s="287">
        <v>1.58</v>
      </c>
      <c r="N442" s="284">
        <f>VLOOKUP(6411,季財報!A:N,8,0)</f>
        <v>2</v>
      </c>
    </row>
    <row r="443" spans="1:14">
      <c r="A443" s="184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197">
        <v>0.03</v>
      </c>
      <c r="I443">
        <f t="shared" si="54"/>
        <v>466</v>
      </c>
      <c r="J443" s="190">
        <v>0.03</v>
      </c>
      <c r="K443">
        <f t="shared" si="55"/>
        <v>334</v>
      </c>
      <c r="L443" s="62">
        <f t="shared" si="56"/>
        <v>436</v>
      </c>
      <c r="M443" s="287">
        <v>1.58</v>
      </c>
      <c r="N443" s="284">
        <f>VLOOKUP(4994,季財報!A:N,8,0)</f>
        <v>4</v>
      </c>
    </row>
    <row r="444" spans="1:14">
      <c r="A444" s="184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197">
        <v>0.03</v>
      </c>
      <c r="I444">
        <f t="shared" si="54"/>
        <v>466</v>
      </c>
      <c r="J444" s="190">
        <v>0.03</v>
      </c>
      <c r="K444">
        <f t="shared" si="55"/>
        <v>334</v>
      </c>
      <c r="L444" s="62">
        <f t="shared" si="56"/>
        <v>436</v>
      </c>
      <c r="M444" s="287">
        <v>1.58</v>
      </c>
      <c r="N444" s="284">
        <f>VLOOKUP(5215,季財報!A:N,8,0)</f>
        <v>4</v>
      </c>
    </row>
    <row r="445" spans="1:14">
      <c r="A445" s="184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197">
        <v>0.03</v>
      </c>
      <c r="I445">
        <f t="shared" si="54"/>
        <v>466</v>
      </c>
      <c r="J445" s="190">
        <v>0.03</v>
      </c>
      <c r="K445">
        <f t="shared" si="55"/>
        <v>334</v>
      </c>
      <c r="L445" s="62">
        <f t="shared" si="56"/>
        <v>436</v>
      </c>
      <c r="M445" s="287">
        <v>1.58</v>
      </c>
      <c r="N445" s="284">
        <f>VLOOKUP(5276,季財報!A:N,8,0)</f>
        <v>2</v>
      </c>
    </row>
    <row r="446" spans="1:14">
      <c r="A446" s="184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197">
        <v>0.03</v>
      </c>
      <c r="I446">
        <f t="shared" si="54"/>
        <v>466</v>
      </c>
      <c r="J446" s="190">
        <v>0.03</v>
      </c>
      <c r="K446">
        <f t="shared" si="55"/>
        <v>334</v>
      </c>
      <c r="L446" s="62">
        <f t="shared" si="56"/>
        <v>436</v>
      </c>
      <c r="M446" s="287">
        <v>1.58</v>
      </c>
      <c r="N446" s="284">
        <f>VLOOKUP(5285,季財報!A:N,8,0)</f>
        <v>4</v>
      </c>
    </row>
    <row r="447" spans="1:14">
      <c r="A447" s="184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197">
        <v>0.03</v>
      </c>
      <c r="I447">
        <f t="shared" si="54"/>
        <v>466</v>
      </c>
      <c r="J447" s="190">
        <v>0.03</v>
      </c>
      <c r="K447">
        <f t="shared" si="55"/>
        <v>334</v>
      </c>
      <c r="L447" s="62">
        <f t="shared" si="56"/>
        <v>436</v>
      </c>
      <c r="M447" s="287">
        <v>1.58</v>
      </c>
      <c r="N447" s="284">
        <f>VLOOKUP(5347,季財報!A:N,8,0)</f>
        <v>1</v>
      </c>
    </row>
    <row r="448" spans="1:14">
      <c r="A448" s="184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197">
        <v>0.03</v>
      </c>
      <c r="I448">
        <f t="shared" si="54"/>
        <v>466</v>
      </c>
      <c r="J448" s="190">
        <v>0.03</v>
      </c>
      <c r="K448">
        <f t="shared" si="55"/>
        <v>334</v>
      </c>
      <c r="L448" s="62">
        <f t="shared" si="56"/>
        <v>436</v>
      </c>
      <c r="M448" s="287">
        <v>1.58</v>
      </c>
      <c r="N448" s="284">
        <f>VLOOKUP(5471,季財報!A:N,8,0)</f>
        <v>1</v>
      </c>
    </row>
    <row r="449" spans="1:14">
      <c r="A449" s="184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197">
        <v>0.03</v>
      </c>
      <c r="I449">
        <f t="shared" si="54"/>
        <v>466</v>
      </c>
      <c r="J449" s="190">
        <v>0.03</v>
      </c>
      <c r="K449">
        <f t="shared" si="55"/>
        <v>334</v>
      </c>
      <c r="L449" s="62">
        <f t="shared" si="56"/>
        <v>436</v>
      </c>
      <c r="M449" s="287">
        <v>1.58</v>
      </c>
      <c r="N449" s="284">
        <f>VLOOKUP(5704,季財報!A:N,8,0)</f>
        <v>1</v>
      </c>
    </row>
    <row r="450" spans="1:14">
      <c r="A450" s="184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197">
        <v>0.03</v>
      </c>
      <c r="I450">
        <f t="shared" si="54"/>
        <v>466</v>
      </c>
      <c r="J450" s="190">
        <v>0.03</v>
      </c>
      <c r="K450">
        <f t="shared" si="55"/>
        <v>334</v>
      </c>
      <c r="L450" s="62">
        <f t="shared" si="56"/>
        <v>436</v>
      </c>
      <c r="M450" s="287">
        <v>1.58</v>
      </c>
      <c r="N450" s="284">
        <f>VLOOKUP(4706,季財報!A:N,8,0)</f>
        <v>4</v>
      </c>
    </row>
    <row r="451" spans="1:14">
      <c r="A451" s="184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197">
        <v>0.03</v>
      </c>
      <c r="I451">
        <f t="shared" si="54"/>
        <v>466</v>
      </c>
      <c r="J451" s="190">
        <v>0.03</v>
      </c>
      <c r="K451">
        <f t="shared" si="55"/>
        <v>334</v>
      </c>
      <c r="L451" s="62">
        <f t="shared" si="56"/>
        <v>436</v>
      </c>
      <c r="M451" s="287">
        <v>1.58</v>
      </c>
      <c r="N451" s="284">
        <f>VLOOKUP(5536,季財報!A:N,8,0)</f>
        <v>2</v>
      </c>
    </row>
    <row r="452" spans="1:14">
      <c r="A452" s="184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197">
        <v>0.03</v>
      </c>
      <c r="I452">
        <f t="shared" si="54"/>
        <v>466</v>
      </c>
      <c r="J452" s="190">
        <v>0.03</v>
      </c>
      <c r="K452">
        <f t="shared" si="55"/>
        <v>334</v>
      </c>
      <c r="L452" s="62">
        <f t="shared" si="56"/>
        <v>436</v>
      </c>
      <c r="M452" s="287">
        <v>1.58</v>
      </c>
      <c r="N452" s="284">
        <f>VLOOKUP(1213,季財報!A:N,8,0)</f>
        <v>4</v>
      </c>
    </row>
    <row r="453" spans="1:14">
      <c r="A453" s="184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197">
        <v>0.03</v>
      </c>
      <c r="I453">
        <f t="shared" si="54"/>
        <v>466</v>
      </c>
      <c r="J453" s="190">
        <v>0.03</v>
      </c>
      <c r="K453">
        <f t="shared" si="55"/>
        <v>334</v>
      </c>
      <c r="L453" s="62">
        <f t="shared" si="56"/>
        <v>436</v>
      </c>
      <c r="M453" s="287">
        <v>1.58</v>
      </c>
      <c r="N453" s="284">
        <f>VLOOKUP(1231,季財報!A:N,8,0)</f>
        <v>1</v>
      </c>
    </row>
    <row r="454" spans="1:14">
      <c r="A454" s="184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197">
        <v>0.03</v>
      </c>
      <c r="I454">
        <f t="shared" si="54"/>
        <v>466</v>
      </c>
      <c r="J454" s="190">
        <v>0.03</v>
      </c>
      <c r="K454">
        <f t="shared" si="55"/>
        <v>334</v>
      </c>
      <c r="L454" s="62">
        <f t="shared" si="56"/>
        <v>436</v>
      </c>
      <c r="M454" s="287">
        <v>1.46</v>
      </c>
      <c r="N454" s="284">
        <f>VLOOKUP(1233,季財報!A:N,8,0)</f>
        <v>3</v>
      </c>
    </row>
    <row r="455" spans="1:14">
      <c r="A455" s="184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197">
        <v>0.03</v>
      </c>
      <c r="I455">
        <f t="shared" si="54"/>
        <v>466</v>
      </c>
      <c r="J455" s="190">
        <v>0.03</v>
      </c>
      <c r="K455">
        <f t="shared" si="55"/>
        <v>334</v>
      </c>
      <c r="L455" s="62">
        <f t="shared" si="56"/>
        <v>436</v>
      </c>
      <c r="M455" s="287">
        <v>1.46</v>
      </c>
      <c r="N455" s="284">
        <f>VLOOKUP(1526,季財報!A:N,8,0)</f>
        <v>3</v>
      </c>
    </row>
    <row r="456" spans="1:14">
      <c r="A456" s="184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197">
        <v>0.03</v>
      </c>
      <c r="I456">
        <f t="shared" si="54"/>
        <v>466</v>
      </c>
      <c r="J456" s="190">
        <v>0.03</v>
      </c>
      <c r="K456">
        <f t="shared" si="55"/>
        <v>334</v>
      </c>
      <c r="L456" s="62">
        <f t="shared" si="56"/>
        <v>436</v>
      </c>
      <c r="M456" s="287">
        <v>1.46</v>
      </c>
      <c r="N456" s="284">
        <f>VLOOKUP(1589,季財報!A:N,8,0)</f>
        <v>4</v>
      </c>
    </row>
    <row r="457" spans="1:14">
      <c r="A457" s="184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197">
        <v>0.03</v>
      </c>
      <c r="I457">
        <f t="shared" si="54"/>
        <v>466</v>
      </c>
      <c r="J457" s="190">
        <v>0.03</v>
      </c>
      <c r="K457">
        <f t="shared" si="55"/>
        <v>334</v>
      </c>
      <c r="L457" s="62">
        <f t="shared" si="56"/>
        <v>436</v>
      </c>
      <c r="M457" s="287">
        <v>1.46</v>
      </c>
      <c r="N457" s="284">
        <f>VLOOKUP(2115,季財報!A:N,8,0)</f>
        <v>3</v>
      </c>
    </row>
    <row r="458" spans="1:14">
      <c r="A458" s="184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197">
        <v>0.03</v>
      </c>
      <c r="I458">
        <f t="shared" si="54"/>
        <v>466</v>
      </c>
      <c r="J458" s="190">
        <v>0.03</v>
      </c>
      <c r="K458">
        <f t="shared" si="55"/>
        <v>334</v>
      </c>
      <c r="L458" s="62">
        <f t="shared" si="56"/>
        <v>436</v>
      </c>
      <c r="M458" s="287">
        <v>1.38</v>
      </c>
      <c r="N458" s="284">
        <f>VLOOKUP(2351,季財報!A:N,8,0)</f>
        <v>2</v>
      </c>
    </row>
    <row r="459" spans="1:14">
      <c r="A459" s="184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197">
        <v>0.03</v>
      </c>
      <c r="I459">
        <f t="shared" si="54"/>
        <v>466</v>
      </c>
      <c r="J459" s="190">
        <v>0.03</v>
      </c>
      <c r="K459">
        <f t="shared" si="55"/>
        <v>334</v>
      </c>
      <c r="L459" s="62">
        <f t="shared" si="56"/>
        <v>436</v>
      </c>
      <c r="M459" s="287">
        <v>1.36</v>
      </c>
      <c r="N459" s="284">
        <f>VLOOKUP(2376,季財報!A:N,8,0)</f>
        <v>4</v>
      </c>
    </row>
    <row r="460" spans="1:14">
      <c r="A460" s="184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197">
        <v>0.03</v>
      </c>
      <c r="I460">
        <f t="shared" si="54"/>
        <v>466</v>
      </c>
      <c r="J460" s="190">
        <v>0.03</v>
      </c>
      <c r="K460">
        <f t="shared" si="55"/>
        <v>334</v>
      </c>
      <c r="L460" s="62">
        <f t="shared" si="56"/>
        <v>436</v>
      </c>
      <c r="M460" s="287">
        <v>1.36</v>
      </c>
      <c r="N460" s="284">
        <f>VLOOKUP(2444,季財報!A:N,8,0)</f>
        <v>4</v>
      </c>
    </row>
    <row r="461" spans="1:14">
      <c r="A461" s="184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197">
        <v>0.03</v>
      </c>
      <c r="I461">
        <f t="shared" si="54"/>
        <v>466</v>
      </c>
      <c r="J461" s="190">
        <v>0.03</v>
      </c>
      <c r="K461">
        <f t="shared" si="55"/>
        <v>334</v>
      </c>
      <c r="L461" s="62">
        <f t="shared" si="56"/>
        <v>436</v>
      </c>
      <c r="M461" s="287">
        <v>1.36</v>
      </c>
      <c r="N461" s="284">
        <f>VLOOKUP(2451,季財報!A:N,8,0)</f>
        <v>3</v>
      </c>
    </row>
    <row r="462" spans="1:14">
      <c r="A462" s="184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197">
        <v>0.03</v>
      </c>
      <c r="I462">
        <f t="shared" si="54"/>
        <v>466</v>
      </c>
      <c r="J462" s="190">
        <v>0.03</v>
      </c>
      <c r="K462">
        <f t="shared" si="55"/>
        <v>334</v>
      </c>
      <c r="L462" s="62">
        <f t="shared" si="56"/>
        <v>436</v>
      </c>
      <c r="M462" s="287">
        <v>1.36</v>
      </c>
      <c r="N462" s="284">
        <f>VLOOKUP(2456,季財報!A:N,8,0)</f>
        <v>4</v>
      </c>
    </row>
    <row r="463" spans="1:14">
      <c r="A463" s="184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197">
        <v>0.03</v>
      </c>
      <c r="I463">
        <f t="shared" si="54"/>
        <v>466</v>
      </c>
      <c r="J463" s="190">
        <v>0.03</v>
      </c>
      <c r="K463">
        <f t="shared" si="55"/>
        <v>334</v>
      </c>
      <c r="L463" s="62">
        <f t="shared" si="56"/>
        <v>436</v>
      </c>
      <c r="M463" s="287">
        <v>1.36</v>
      </c>
      <c r="N463" s="284">
        <f>VLOOKUP(2458,季財報!A:N,8,0)</f>
        <v>2</v>
      </c>
    </row>
    <row r="464" spans="1:14">
      <c r="A464" s="184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197">
        <v>0.03</v>
      </c>
      <c r="I464">
        <f t="shared" si="54"/>
        <v>466</v>
      </c>
      <c r="J464" s="190">
        <v>0.03</v>
      </c>
      <c r="K464">
        <f t="shared" si="55"/>
        <v>334</v>
      </c>
      <c r="L464" s="62">
        <f t="shared" si="56"/>
        <v>436</v>
      </c>
      <c r="M464" s="287">
        <v>1.36</v>
      </c>
      <c r="N464" s="284">
        <f>VLOOKUP(2476,季財報!A:N,8,0)</f>
        <v>3</v>
      </c>
    </row>
    <row r="465" spans="1:14">
      <c r="A465" s="184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197">
        <v>0.03</v>
      </c>
      <c r="I465">
        <f t="shared" si="54"/>
        <v>466</v>
      </c>
      <c r="J465" s="190">
        <v>0.03</v>
      </c>
      <c r="K465">
        <f t="shared" si="55"/>
        <v>334</v>
      </c>
      <c r="L465" s="62">
        <f t="shared" si="56"/>
        <v>436</v>
      </c>
      <c r="M465" s="287">
        <v>1.36</v>
      </c>
      <c r="N465" s="284">
        <f>VLOOKUP(2535,季財報!A:N,8,0)</f>
        <v>3</v>
      </c>
    </row>
    <row r="466" spans="1:14">
      <c r="A466" s="184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197">
        <v>0.03</v>
      </c>
      <c r="I466">
        <f t="shared" si="54"/>
        <v>466</v>
      </c>
      <c r="J466" s="190">
        <v>0.03</v>
      </c>
      <c r="K466">
        <f t="shared" si="55"/>
        <v>334</v>
      </c>
      <c r="L466" s="62">
        <f t="shared" si="56"/>
        <v>436</v>
      </c>
      <c r="M466" s="287">
        <v>1.36</v>
      </c>
      <c r="N466" s="284">
        <f>VLOOKUP(2901,季財報!A:N,8,0)</f>
        <v>3</v>
      </c>
    </row>
    <row r="467" spans="1:14">
      <c r="A467" s="184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197">
        <v>0.03</v>
      </c>
      <c r="I467">
        <f t="shared" si="54"/>
        <v>466</v>
      </c>
      <c r="J467" s="190">
        <v>0.03</v>
      </c>
      <c r="K467">
        <f t="shared" si="55"/>
        <v>334</v>
      </c>
      <c r="L467" s="62">
        <f t="shared" si="56"/>
        <v>436</v>
      </c>
      <c r="M467" s="287">
        <v>1.36</v>
      </c>
      <c r="N467" s="284">
        <f>VLOOKUP(2904,季財報!A:N,8,0)</f>
        <v>3</v>
      </c>
    </row>
    <row r="468" spans="1:14">
      <c r="A468" s="184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197">
        <v>0.03</v>
      </c>
      <c r="I468">
        <f t="shared" si="54"/>
        <v>466</v>
      </c>
      <c r="J468" s="190">
        <v>0.03</v>
      </c>
      <c r="K468">
        <f t="shared" si="55"/>
        <v>334</v>
      </c>
      <c r="L468" s="62">
        <f t="shared" si="56"/>
        <v>436</v>
      </c>
      <c r="M468" s="287">
        <v>1.36</v>
      </c>
      <c r="N468" s="284">
        <f>VLOOKUP(3003,季財報!A:N,8,0)</f>
        <v>2</v>
      </c>
    </row>
    <row r="469" spans="1:14">
      <c r="A469" s="184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197">
        <v>0.03</v>
      </c>
      <c r="I469">
        <f t="shared" ref="I469:I500" si="57">RANK(0.03,H:H,0)</f>
        <v>466</v>
      </c>
      <c r="J469" s="190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287">
        <v>1.36</v>
      </c>
      <c r="N469" s="284">
        <f>VLOOKUP(3017,季財報!A:N,8,0)</f>
        <v>3</v>
      </c>
    </row>
    <row r="470" spans="1:14">
      <c r="A470" s="184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197">
        <v>0.03</v>
      </c>
      <c r="I470">
        <f t="shared" si="57"/>
        <v>466</v>
      </c>
      <c r="J470" s="190">
        <v>0.03</v>
      </c>
      <c r="K470">
        <f t="shared" si="58"/>
        <v>334</v>
      </c>
      <c r="L470" s="62">
        <f t="shared" si="59"/>
        <v>436</v>
      </c>
      <c r="M470" s="287">
        <v>1.36</v>
      </c>
      <c r="N470" s="284">
        <f>VLOOKUP(3029,季財報!A:N,8,0)</f>
        <v>2</v>
      </c>
    </row>
    <row r="471" spans="1:14">
      <c r="A471" s="184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197">
        <v>0.03</v>
      </c>
      <c r="I471">
        <f t="shared" si="57"/>
        <v>466</v>
      </c>
      <c r="J471" s="190">
        <v>0.03</v>
      </c>
      <c r="K471">
        <f t="shared" si="58"/>
        <v>334</v>
      </c>
      <c r="L471" s="62">
        <f t="shared" si="59"/>
        <v>436</v>
      </c>
      <c r="M471" s="287">
        <v>1.36</v>
      </c>
      <c r="N471" s="284">
        <f>VLOOKUP(3093,季財報!A:N,8,0)</f>
        <v>4</v>
      </c>
    </row>
    <row r="472" spans="1:14">
      <c r="A472" s="184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197">
        <v>0.03</v>
      </c>
      <c r="I472">
        <f t="shared" si="57"/>
        <v>466</v>
      </c>
      <c r="J472" s="190">
        <v>0.03</v>
      </c>
      <c r="K472">
        <f t="shared" si="58"/>
        <v>334</v>
      </c>
      <c r="L472" s="62">
        <f t="shared" si="59"/>
        <v>436</v>
      </c>
      <c r="M472" s="287">
        <v>1.36</v>
      </c>
      <c r="N472" s="284">
        <f>VLOOKUP(3171,季財報!A:N,8,0)</f>
        <v>3</v>
      </c>
    </row>
    <row r="473" spans="1:14">
      <c r="A473" s="184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197">
        <v>0.03</v>
      </c>
      <c r="I473">
        <f t="shared" si="57"/>
        <v>466</v>
      </c>
      <c r="J473" s="190">
        <v>0.03</v>
      </c>
      <c r="K473">
        <f t="shared" si="58"/>
        <v>334</v>
      </c>
      <c r="L473" s="62">
        <f t="shared" si="59"/>
        <v>436</v>
      </c>
      <c r="M473" s="287">
        <v>1.36</v>
      </c>
      <c r="N473" s="284">
        <f>VLOOKUP(3189,季財報!A:N,8,0)</f>
        <v>2</v>
      </c>
    </row>
    <row r="474" spans="1:14">
      <c r="A474" s="184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197">
        <v>0.03</v>
      </c>
      <c r="I474">
        <f t="shared" si="57"/>
        <v>466</v>
      </c>
      <c r="J474" s="190">
        <v>0.03</v>
      </c>
      <c r="K474">
        <f t="shared" si="58"/>
        <v>334</v>
      </c>
      <c r="L474" s="62">
        <f t="shared" si="59"/>
        <v>436</v>
      </c>
      <c r="M474" s="287">
        <v>1.36</v>
      </c>
      <c r="N474" s="284">
        <f>VLOOKUP(3303,季財報!A:N,8,0)</f>
        <v>5</v>
      </c>
    </row>
    <row r="475" spans="1:14">
      <c r="A475" s="184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197">
        <v>0.03</v>
      </c>
      <c r="I475">
        <f t="shared" si="57"/>
        <v>466</v>
      </c>
      <c r="J475" s="190">
        <v>0.03</v>
      </c>
      <c r="K475">
        <f t="shared" si="58"/>
        <v>334</v>
      </c>
      <c r="L475" s="62">
        <f t="shared" si="59"/>
        <v>436</v>
      </c>
      <c r="M475" s="287">
        <v>1.36</v>
      </c>
      <c r="N475" s="284">
        <f>VLOOKUP(3338,季財報!A:N,8,0)</f>
        <v>5</v>
      </c>
    </row>
    <row r="476" spans="1:14">
      <c r="A476" s="184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197">
        <v>0.03</v>
      </c>
      <c r="I476">
        <f t="shared" si="57"/>
        <v>466</v>
      </c>
      <c r="J476" s="190">
        <v>0.03</v>
      </c>
      <c r="K476">
        <f t="shared" si="58"/>
        <v>334</v>
      </c>
      <c r="L476" s="62">
        <f t="shared" si="59"/>
        <v>436</v>
      </c>
      <c r="M476" s="287">
        <v>1.36</v>
      </c>
      <c r="N476" s="284">
        <f>VLOOKUP(3388,季財報!A:N,8,0)</f>
        <v>2</v>
      </c>
    </row>
    <row r="477" spans="1:14">
      <c r="A477" s="184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197">
        <v>0.03</v>
      </c>
      <c r="I477">
        <f t="shared" si="57"/>
        <v>466</v>
      </c>
      <c r="J477" s="190">
        <v>0.03</v>
      </c>
      <c r="K477">
        <f t="shared" si="58"/>
        <v>334</v>
      </c>
      <c r="L477" s="62">
        <f t="shared" si="59"/>
        <v>436</v>
      </c>
      <c r="M477" s="287">
        <v>1.36</v>
      </c>
      <c r="N477" s="284">
        <f>VLOOKUP(3474,季財報!A:N,8,0)</f>
        <v>3</v>
      </c>
    </row>
    <row r="478" spans="1:14">
      <c r="A478" s="184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197">
        <v>0.03</v>
      </c>
      <c r="I478">
        <f t="shared" si="57"/>
        <v>466</v>
      </c>
      <c r="J478" s="190">
        <v>0.03</v>
      </c>
      <c r="K478">
        <f t="shared" si="58"/>
        <v>334</v>
      </c>
      <c r="L478" s="62">
        <f t="shared" si="59"/>
        <v>436</v>
      </c>
      <c r="M478" s="287">
        <v>1.36</v>
      </c>
      <c r="N478" s="284">
        <f>VLOOKUP(3548,季財報!A:N,8,0)</f>
        <v>4</v>
      </c>
    </row>
    <row r="479" spans="1:14">
      <c r="A479" s="184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197">
        <v>0.03</v>
      </c>
      <c r="I479">
        <f t="shared" si="57"/>
        <v>466</v>
      </c>
      <c r="J479" s="190">
        <v>0.03</v>
      </c>
      <c r="K479">
        <f t="shared" si="58"/>
        <v>334</v>
      </c>
      <c r="L479" s="62">
        <f t="shared" si="59"/>
        <v>436</v>
      </c>
      <c r="M479" s="287">
        <v>1.36</v>
      </c>
      <c r="N479" s="284">
        <f>VLOOKUP(3567,季財報!A:N,8,0)</f>
        <v>3</v>
      </c>
    </row>
    <row r="480" spans="1:14">
      <c r="A480" s="184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197">
        <v>0.03</v>
      </c>
      <c r="I480">
        <f t="shared" si="57"/>
        <v>466</v>
      </c>
      <c r="J480" s="190">
        <v>0.03</v>
      </c>
      <c r="K480">
        <f t="shared" si="58"/>
        <v>334</v>
      </c>
      <c r="L480" s="62">
        <f t="shared" si="59"/>
        <v>436</v>
      </c>
      <c r="M480" s="287">
        <v>1.36</v>
      </c>
      <c r="N480" s="284">
        <f>VLOOKUP(3577,季財報!A:N,8,0)</f>
        <v>2</v>
      </c>
    </row>
    <row r="481" spans="1:14">
      <c r="A481" s="184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197">
        <v>0.03</v>
      </c>
      <c r="I481">
        <f t="shared" si="57"/>
        <v>466</v>
      </c>
      <c r="J481" s="190">
        <v>0.03</v>
      </c>
      <c r="K481">
        <f t="shared" si="58"/>
        <v>334</v>
      </c>
      <c r="L481" s="62">
        <f t="shared" si="59"/>
        <v>436</v>
      </c>
      <c r="M481" s="287">
        <v>1.36</v>
      </c>
      <c r="N481" s="284">
        <f>VLOOKUP(3607,季財報!A:N,8,0)</f>
        <v>2</v>
      </c>
    </row>
    <row r="482" spans="1:14">
      <c r="A482" s="184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197">
        <v>0.03</v>
      </c>
      <c r="I482">
        <f t="shared" si="57"/>
        <v>466</v>
      </c>
      <c r="J482" s="190">
        <v>0.03</v>
      </c>
      <c r="K482">
        <f t="shared" si="58"/>
        <v>334</v>
      </c>
      <c r="L482" s="62">
        <f t="shared" si="59"/>
        <v>436</v>
      </c>
      <c r="M482" s="287">
        <v>1.36</v>
      </c>
      <c r="N482" s="284">
        <f>VLOOKUP(3645,季財報!A:N,8,0)</f>
        <v>2</v>
      </c>
    </row>
    <row r="483" spans="1:14">
      <c r="A483" s="184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197">
        <v>0.03</v>
      </c>
      <c r="I483">
        <f t="shared" si="57"/>
        <v>466</v>
      </c>
      <c r="J483" s="190">
        <v>0.03</v>
      </c>
      <c r="K483">
        <f t="shared" si="58"/>
        <v>334</v>
      </c>
      <c r="L483" s="62">
        <f t="shared" si="59"/>
        <v>436</v>
      </c>
      <c r="M483" s="287">
        <v>1.36</v>
      </c>
      <c r="N483" s="284">
        <f>VLOOKUP(3675,季財報!A:N,8,0)</f>
        <v>4</v>
      </c>
    </row>
    <row r="484" spans="1:14">
      <c r="A484" s="184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197">
        <v>0.03</v>
      </c>
      <c r="I484">
        <f t="shared" si="57"/>
        <v>466</v>
      </c>
      <c r="J484" s="190">
        <v>0.03</v>
      </c>
      <c r="K484">
        <f t="shared" si="58"/>
        <v>334</v>
      </c>
      <c r="L484" s="62">
        <f t="shared" si="59"/>
        <v>436</v>
      </c>
      <c r="M484" s="287">
        <v>1.36</v>
      </c>
      <c r="N484" s="284">
        <f>VLOOKUP(9958,季財報!A:N,8,0)</f>
        <v>4</v>
      </c>
    </row>
    <row r="485" spans="1:14">
      <c r="A485" s="184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197">
        <v>0.03</v>
      </c>
      <c r="I485">
        <f t="shared" si="57"/>
        <v>466</v>
      </c>
      <c r="J485" s="190">
        <v>0.03</v>
      </c>
      <c r="K485">
        <f t="shared" si="58"/>
        <v>334</v>
      </c>
      <c r="L485" s="62">
        <f t="shared" si="59"/>
        <v>436</v>
      </c>
      <c r="M485" s="287">
        <v>1.36</v>
      </c>
      <c r="N485" s="284">
        <f>VLOOKUP(8349,季財報!A:N,8,0)</f>
        <v>1</v>
      </c>
    </row>
    <row r="486" spans="1:14">
      <c r="A486" s="184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197">
        <v>0.03</v>
      </c>
      <c r="I486">
        <f t="shared" si="57"/>
        <v>466</v>
      </c>
      <c r="J486" s="190">
        <v>0.03</v>
      </c>
      <c r="K486">
        <f t="shared" si="58"/>
        <v>334</v>
      </c>
      <c r="L486" s="62">
        <f t="shared" si="59"/>
        <v>436</v>
      </c>
      <c r="M486" s="287">
        <v>1.36</v>
      </c>
      <c r="N486" s="284">
        <f>VLOOKUP(8420,季財報!A:N,8,0)</f>
        <v>2</v>
      </c>
    </row>
    <row r="487" spans="1:14">
      <c r="A487" s="184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197">
        <v>0.03</v>
      </c>
      <c r="I487">
        <f t="shared" si="57"/>
        <v>466</v>
      </c>
      <c r="J487" s="190">
        <v>0.03</v>
      </c>
      <c r="K487">
        <f t="shared" si="58"/>
        <v>334</v>
      </c>
      <c r="L487" s="62">
        <f t="shared" si="59"/>
        <v>436</v>
      </c>
      <c r="M487" s="287">
        <v>1.36</v>
      </c>
      <c r="N487" s="284">
        <f>VLOOKUP(8444,季財報!A:N,8,0)</f>
        <v>2</v>
      </c>
    </row>
    <row r="488" spans="1:14">
      <c r="A488" s="184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197">
        <v>0.03</v>
      </c>
      <c r="I488">
        <f t="shared" si="57"/>
        <v>466</v>
      </c>
      <c r="J488" s="190">
        <v>0.03</v>
      </c>
      <c r="K488">
        <f t="shared" si="58"/>
        <v>334</v>
      </c>
      <c r="L488" s="62">
        <f t="shared" si="59"/>
        <v>436</v>
      </c>
      <c r="M488" s="287">
        <v>1.36</v>
      </c>
      <c r="N488" s="284">
        <f>VLOOKUP(6168,季財報!A:N,8,0)</f>
        <v>5</v>
      </c>
    </row>
    <row r="489" spans="1:14">
      <c r="A489" s="184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197">
        <v>0.03</v>
      </c>
      <c r="I489">
        <f t="shared" si="57"/>
        <v>466</v>
      </c>
      <c r="J489" s="190">
        <v>0.03</v>
      </c>
      <c r="K489">
        <f t="shared" si="58"/>
        <v>334</v>
      </c>
      <c r="L489" s="62">
        <f t="shared" si="59"/>
        <v>436</v>
      </c>
      <c r="M489" s="287">
        <v>1.36</v>
      </c>
      <c r="N489" s="284">
        <f>VLOOKUP(8042,季財報!A:N,8,0)</f>
        <v>2</v>
      </c>
    </row>
    <row r="490" spans="1:14">
      <c r="A490" s="184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197">
        <v>0.03</v>
      </c>
      <c r="I490">
        <f t="shared" si="57"/>
        <v>466</v>
      </c>
      <c r="J490" s="190">
        <v>0.03</v>
      </c>
      <c r="K490">
        <f t="shared" si="58"/>
        <v>334</v>
      </c>
      <c r="L490" s="62">
        <f t="shared" si="59"/>
        <v>436</v>
      </c>
      <c r="M490" s="287">
        <v>1.36</v>
      </c>
      <c r="N490" s="284">
        <f>VLOOKUP(6187,季財報!A:N,8,0)</f>
        <v>1</v>
      </c>
    </row>
    <row r="491" spans="1:14">
      <c r="A491" s="184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197">
        <v>0.03</v>
      </c>
      <c r="I491">
        <f t="shared" si="57"/>
        <v>466</v>
      </c>
      <c r="J491" s="190">
        <v>0.03</v>
      </c>
      <c r="K491">
        <f t="shared" si="58"/>
        <v>334</v>
      </c>
      <c r="L491" s="62">
        <f t="shared" si="59"/>
        <v>436</v>
      </c>
      <c r="M491" s="287">
        <v>1.36</v>
      </c>
      <c r="N491" s="284">
        <f>VLOOKUP(6203,季財報!A:N,8,0)</f>
        <v>5</v>
      </c>
    </row>
    <row r="492" spans="1:14">
      <c r="A492" s="184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197">
        <v>0.03</v>
      </c>
      <c r="I492">
        <f t="shared" si="57"/>
        <v>466</v>
      </c>
      <c r="J492" s="190">
        <v>0.03</v>
      </c>
      <c r="K492">
        <f t="shared" si="58"/>
        <v>334</v>
      </c>
      <c r="L492" s="62">
        <f t="shared" si="59"/>
        <v>436</v>
      </c>
      <c r="M492" s="287">
        <v>1.36</v>
      </c>
      <c r="N492" s="284">
        <f>VLOOKUP(6242,季財報!A:N,8,0)</f>
        <v>1</v>
      </c>
    </row>
    <row r="493" spans="1:14">
      <c r="A493" s="184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197">
        <v>0.03</v>
      </c>
      <c r="I493">
        <f t="shared" si="57"/>
        <v>466</v>
      </c>
      <c r="J493" s="190">
        <v>0.03</v>
      </c>
      <c r="K493">
        <f t="shared" si="58"/>
        <v>334</v>
      </c>
      <c r="L493" s="62">
        <f t="shared" si="59"/>
        <v>436</v>
      </c>
      <c r="M493" s="287">
        <v>1.36</v>
      </c>
      <c r="N493" s="284">
        <f>VLOOKUP(8032,季財報!A:N,8,0)</f>
        <v>3</v>
      </c>
    </row>
    <row r="494" spans="1:14">
      <c r="A494" s="184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197">
        <v>0.03</v>
      </c>
      <c r="I494">
        <f t="shared" si="57"/>
        <v>466</v>
      </c>
      <c r="J494" s="190">
        <v>0.03</v>
      </c>
      <c r="K494">
        <f t="shared" si="58"/>
        <v>334</v>
      </c>
      <c r="L494" s="62">
        <f t="shared" si="59"/>
        <v>436</v>
      </c>
      <c r="M494" s="287">
        <v>1.36</v>
      </c>
      <c r="N494" s="284">
        <f>VLOOKUP(5013,季財報!A:N,8,0)</f>
        <v>2</v>
      </c>
    </row>
    <row r="495" spans="1:14">
      <c r="A495" s="184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197">
        <v>0.03</v>
      </c>
      <c r="I495">
        <f t="shared" si="57"/>
        <v>466</v>
      </c>
      <c r="J495" s="190">
        <v>0.03</v>
      </c>
      <c r="K495">
        <f t="shared" si="58"/>
        <v>334</v>
      </c>
      <c r="L495" s="62">
        <f t="shared" si="59"/>
        <v>436</v>
      </c>
      <c r="M495" s="287">
        <v>1.36</v>
      </c>
      <c r="N495" s="284">
        <f>VLOOKUP(5230,季財報!A:N,8,0)</f>
        <v>3</v>
      </c>
    </row>
    <row r="496" spans="1:14">
      <c r="A496" s="184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197">
        <v>0.03</v>
      </c>
      <c r="I496">
        <f t="shared" si="57"/>
        <v>466</v>
      </c>
      <c r="J496" s="190">
        <v>0.03</v>
      </c>
      <c r="K496">
        <f t="shared" si="58"/>
        <v>334</v>
      </c>
      <c r="L496" s="62">
        <f t="shared" si="59"/>
        <v>436</v>
      </c>
      <c r="M496" s="287">
        <v>1.36</v>
      </c>
      <c r="N496" s="284">
        <f>VLOOKUP(5356,季財報!A:N,8,0)</f>
        <v>1</v>
      </c>
    </row>
    <row r="497" spans="1:14">
      <c r="A497" s="184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197">
        <v>0.03</v>
      </c>
      <c r="I497">
        <f t="shared" si="57"/>
        <v>466</v>
      </c>
      <c r="J497" s="190">
        <v>0.03</v>
      </c>
      <c r="K497">
        <f t="shared" si="58"/>
        <v>334</v>
      </c>
      <c r="L497" s="62">
        <f t="shared" si="59"/>
        <v>436</v>
      </c>
      <c r="M497" s="287">
        <v>1.36</v>
      </c>
      <c r="N497" s="284">
        <f>VLOOKUP(5439,季財報!A:N,8,0)</f>
        <v>3</v>
      </c>
    </row>
    <row r="498" spans="1:14">
      <c r="A498" s="184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197">
        <v>0.03</v>
      </c>
      <c r="I498">
        <f t="shared" si="57"/>
        <v>466</v>
      </c>
      <c r="J498" s="190">
        <v>0.03</v>
      </c>
      <c r="K498">
        <f t="shared" si="58"/>
        <v>334</v>
      </c>
      <c r="L498" s="62">
        <f t="shared" si="59"/>
        <v>436</v>
      </c>
      <c r="M498" s="287">
        <v>1.36</v>
      </c>
      <c r="N498" s="284">
        <f>VLOOKUP(5483,季財報!A:N,8,0)</f>
        <v>3</v>
      </c>
    </row>
    <row r="499" spans="1:14">
      <c r="A499" s="184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197">
        <v>0.03</v>
      </c>
      <c r="I499">
        <f t="shared" si="57"/>
        <v>466</v>
      </c>
      <c r="J499" s="190">
        <v>0.03</v>
      </c>
      <c r="K499">
        <f t="shared" si="58"/>
        <v>334</v>
      </c>
      <c r="L499" s="62">
        <f t="shared" si="59"/>
        <v>436</v>
      </c>
      <c r="M499" s="287">
        <v>1.36</v>
      </c>
      <c r="N499" s="284">
        <f>VLOOKUP(5508,季財報!A:N,8,0)</f>
        <v>1</v>
      </c>
    </row>
    <row r="500" spans="1:14">
      <c r="A500" s="184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197">
        <v>0.03</v>
      </c>
      <c r="I500">
        <f t="shared" si="57"/>
        <v>466</v>
      </c>
      <c r="J500" s="190">
        <v>0.03</v>
      </c>
      <c r="K500">
        <f t="shared" si="58"/>
        <v>334</v>
      </c>
      <c r="L500" s="62">
        <f t="shared" si="59"/>
        <v>436</v>
      </c>
      <c r="M500" s="287">
        <v>1.36</v>
      </c>
      <c r="N500" s="284">
        <f>VLOOKUP(4720,季財報!A:N,8,0)</f>
        <v>3</v>
      </c>
    </row>
    <row r="501" spans="1:14">
      <c r="A501" s="184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197">
        <v>0.03</v>
      </c>
      <c r="I501">
        <f t="shared" ref="I501:I510" si="60">RANK(0.03,H:H,0)</f>
        <v>466</v>
      </c>
      <c r="J501" s="190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287">
        <v>1.36</v>
      </c>
      <c r="N501" s="284">
        <f>VLOOKUP(1108,季財報!A:N,8,0)</f>
        <v>2</v>
      </c>
    </row>
    <row r="502" spans="1:14">
      <c r="A502" s="184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197">
        <v>0.03</v>
      </c>
      <c r="I502">
        <f t="shared" si="60"/>
        <v>466</v>
      </c>
      <c r="J502" s="190">
        <v>0.03</v>
      </c>
      <c r="K502">
        <f t="shared" si="61"/>
        <v>334</v>
      </c>
      <c r="L502" s="62">
        <f t="shared" si="62"/>
        <v>436</v>
      </c>
      <c r="M502" s="287">
        <v>1.36</v>
      </c>
      <c r="N502" s="284">
        <f>VLOOKUP(1595,季財報!A:N,8,0)</f>
        <v>2</v>
      </c>
    </row>
    <row r="503" spans="1:14">
      <c r="A503" s="184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197">
        <v>0.03</v>
      </c>
      <c r="I503">
        <f t="shared" si="60"/>
        <v>466</v>
      </c>
      <c r="J503" s="190">
        <v>0.03</v>
      </c>
      <c r="K503">
        <f t="shared" si="61"/>
        <v>334</v>
      </c>
      <c r="L503" s="62">
        <f t="shared" si="62"/>
        <v>436</v>
      </c>
      <c r="M503" s="287">
        <v>1.36</v>
      </c>
      <c r="N503" s="284">
        <f>VLOOKUP(1712,季財報!A:N,8,0)</f>
        <v>2</v>
      </c>
    </row>
    <row r="504" spans="1:14">
      <c r="A504" s="184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197">
        <v>0.03</v>
      </c>
      <c r="I504">
        <f t="shared" si="60"/>
        <v>466</v>
      </c>
      <c r="J504" s="190">
        <v>0.03</v>
      </c>
      <c r="K504">
        <f t="shared" si="61"/>
        <v>334</v>
      </c>
      <c r="L504" s="62">
        <f t="shared" si="62"/>
        <v>436</v>
      </c>
      <c r="M504" s="287">
        <v>1.36</v>
      </c>
      <c r="N504" s="284">
        <f>VLOOKUP(1909,季財報!A:N,8,0)</f>
        <v>2</v>
      </c>
    </row>
    <row r="505" spans="1:14">
      <c r="A505" s="184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197">
        <v>0.03</v>
      </c>
      <c r="I505">
        <f t="shared" si="60"/>
        <v>466</v>
      </c>
      <c r="J505" s="190">
        <v>0.03</v>
      </c>
      <c r="K505">
        <f t="shared" si="61"/>
        <v>334</v>
      </c>
      <c r="L505" s="62">
        <f t="shared" si="62"/>
        <v>436</v>
      </c>
      <c r="M505" s="287">
        <v>1.36</v>
      </c>
      <c r="N505" s="284">
        <f>VLOOKUP(2063,季財報!A:N,8,0)</f>
        <v>2</v>
      </c>
    </row>
    <row r="506" spans="1:14">
      <c r="A506" s="184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197">
        <v>0.03</v>
      </c>
      <c r="I506">
        <f t="shared" si="60"/>
        <v>466</v>
      </c>
      <c r="J506" s="190">
        <v>0.03</v>
      </c>
      <c r="K506">
        <f t="shared" si="61"/>
        <v>334</v>
      </c>
      <c r="L506" s="62">
        <f t="shared" si="62"/>
        <v>436</v>
      </c>
      <c r="M506" s="287">
        <v>1.36</v>
      </c>
      <c r="N506" s="284">
        <f>VLOOKUP(2221,季財報!A:N,8,0)</f>
        <v>1</v>
      </c>
    </row>
    <row r="507" spans="1:14">
      <c r="A507" s="184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197">
        <v>0.03</v>
      </c>
      <c r="I507">
        <f t="shared" si="60"/>
        <v>466</v>
      </c>
      <c r="J507" s="190">
        <v>0.03</v>
      </c>
      <c r="K507">
        <f t="shared" si="61"/>
        <v>334</v>
      </c>
      <c r="L507" s="62">
        <f t="shared" si="62"/>
        <v>436</v>
      </c>
      <c r="M507" s="287">
        <v>1.36</v>
      </c>
      <c r="N507" s="284">
        <f>VLOOKUP(3051,季財報!A:N,8,0)</f>
        <v>2</v>
      </c>
    </row>
    <row r="508" spans="1:14">
      <c r="A508" s="184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197">
        <v>0.03</v>
      </c>
      <c r="I508">
        <f t="shared" si="60"/>
        <v>466</v>
      </c>
      <c r="J508" s="190">
        <v>0.03</v>
      </c>
      <c r="K508">
        <f t="shared" si="61"/>
        <v>334</v>
      </c>
      <c r="L508" s="62">
        <f t="shared" si="62"/>
        <v>436</v>
      </c>
      <c r="M508" s="287">
        <v>1.36</v>
      </c>
      <c r="N508" s="284">
        <f>VLOOKUP(3167,季財報!A:N,8,0)</f>
        <v>3</v>
      </c>
    </row>
    <row r="509" spans="1:14">
      <c r="A509" s="184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197">
        <v>0.03</v>
      </c>
      <c r="I509">
        <f t="shared" si="60"/>
        <v>466</v>
      </c>
      <c r="J509" s="190">
        <v>0.03</v>
      </c>
      <c r="K509">
        <f t="shared" si="61"/>
        <v>334</v>
      </c>
      <c r="L509" s="62">
        <f t="shared" si="62"/>
        <v>436</v>
      </c>
      <c r="M509" s="287">
        <v>1.36</v>
      </c>
      <c r="N509" s="284">
        <f>VLOOKUP(3264,季財報!A:N,8,0)</f>
        <v>4</v>
      </c>
    </row>
    <row r="510" spans="1:14">
      <c r="A510" s="184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197">
        <v>0.03</v>
      </c>
      <c r="I510">
        <f t="shared" si="60"/>
        <v>466</v>
      </c>
      <c r="J510" s="190">
        <v>0.03</v>
      </c>
      <c r="K510">
        <f t="shared" si="61"/>
        <v>334</v>
      </c>
      <c r="L510" s="62">
        <f t="shared" si="62"/>
        <v>436</v>
      </c>
      <c r="M510" s="287">
        <v>1.36</v>
      </c>
      <c r="N510" s="284">
        <f>VLOOKUP(3437,季財報!A:N,8,0)</f>
        <v>2</v>
      </c>
    </row>
    <row r="511" spans="1:14">
      <c r="A511" s="184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197">
        <v>0.04</v>
      </c>
      <c r="I511">
        <f t="shared" ref="I511:I535" si="63">RANK(0.04,H:H,0)</f>
        <v>330</v>
      </c>
      <c r="J511" s="190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287">
        <v>1.36</v>
      </c>
      <c r="N511" s="284">
        <f>VLOOKUP(9933,季財報!A:N,8,0)</f>
        <v>1</v>
      </c>
    </row>
    <row r="512" spans="1:14">
      <c r="A512" s="184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197">
        <v>0.04</v>
      </c>
      <c r="I512">
        <f t="shared" si="63"/>
        <v>330</v>
      </c>
      <c r="J512" s="190">
        <v>0.02</v>
      </c>
      <c r="K512">
        <f t="shared" si="64"/>
        <v>496</v>
      </c>
      <c r="L512" s="62">
        <f t="shared" si="65"/>
        <v>510</v>
      </c>
      <c r="M512" s="287">
        <v>1.36</v>
      </c>
      <c r="N512" s="284">
        <f>VLOOKUP(8936,季財報!A:N,8,0)</f>
        <v>1</v>
      </c>
    </row>
    <row r="513" spans="1:14">
      <c r="A513" s="184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197">
        <v>0.04</v>
      </c>
      <c r="I513">
        <f t="shared" si="63"/>
        <v>330</v>
      </c>
      <c r="J513" s="190">
        <v>0.02</v>
      </c>
      <c r="K513">
        <f t="shared" si="64"/>
        <v>496</v>
      </c>
      <c r="L513" s="62">
        <f t="shared" si="65"/>
        <v>510</v>
      </c>
      <c r="M513" s="287">
        <v>1.36</v>
      </c>
      <c r="N513" s="284">
        <f>VLOOKUP(9925,季財報!A:N,8,0)</f>
        <v>2</v>
      </c>
    </row>
    <row r="514" spans="1:14">
      <c r="A514" s="184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197">
        <v>0.04</v>
      </c>
      <c r="I514">
        <f t="shared" si="63"/>
        <v>330</v>
      </c>
      <c r="J514" s="190">
        <v>0.02</v>
      </c>
      <c r="K514">
        <f t="shared" si="64"/>
        <v>496</v>
      </c>
      <c r="L514" s="62">
        <f t="shared" si="65"/>
        <v>510</v>
      </c>
      <c r="M514" s="287">
        <v>1.36</v>
      </c>
      <c r="N514" s="284">
        <f>VLOOKUP(6112,季財報!A:N,8,0)</f>
        <v>2</v>
      </c>
    </row>
    <row r="515" spans="1:14">
      <c r="A515" s="184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197">
        <v>0.04</v>
      </c>
      <c r="I515">
        <f t="shared" si="63"/>
        <v>330</v>
      </c>
      <c r="J515" s="190">
        <v>0.02</v>
      </c>
      <c r="K515">
        <f t="shared" si="64"/>
        <v>496</v>
      </c>
      <c r="L515" s="62">
        <f t="shared" si="65"/>
        <v>510</v>
      </c>
      <c r="M515" s="287">
        <v>1.36</v>
      </c>
      <c r="N515" s="284">
        <f>VLOOKUP(6147,季財報!A:N,8,0)</f>
        <v>4</v>
      </c>
    </row>
    <row r="516" spans="1:14">
      <c r="A516" s="184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197">
        <v>0.04</v>
      </c>
      <c r="I516">
        <f t="shared" si="63"/>
        <v>330</v>
      </c>
      <c r="J516" s="190">
        <v>0.02</v>
      </c>
      <c r="K516">
        <f t="shared" si="64"/>
        <v>496</v>
      </c>
      <c r="L516" s="62">
        <f t="shared" si="65"/>
        <v>510</v>
      </c>
      <c r="M516" s="287">
        <v>1.36</v>
      </c>
      <c r="N516" s="284">
        <f>VLOOKUP(5349,季財報!A:N,8,0)</f>
        <v>1</v>
      </c>
    </row>
    <row r="517" spans="1:14">
      <c r="A517" s="184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197">
        <v>0.04</v>
      </c>
      <c r="I517">
        <f t="shared" si="63"/>
        <v>330</v>
      </c>
      <c r="J517" s="190">
        <v>0.02</v>
      </c>
      <c r="K517">
        <f t="shared" si="64"/>
        <v>496</v>
      </c>
      <c r="L517" s="62">
        <f t="shared" si="65"/>
        <v>510</v>
      </c>
      <c r="M517" s="287">
        <v>1.36</v>
      </c>
      <c r="N517" s="284">
        <f>VLOOKUP(4721,季財報!A:N,8,0)</f>
        <v>3</v>
      </c>
    </row>
    <row r="518" spans="1:14">
      <c r="A518" s="184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197">
        <v>0.04</v>
      </c>
      <c r="I518">
        <f t="shared" si="63"/>
        <v>330</v>
      </c>
      <c r="J518" s="190">
        <v>0.02</v>
      </c>
      <c r="K518">
        <f t="shared" si="64"/>
        <v>496</v>
      </c>
      <c r="L518" s="62">
        <f t="shared" si="65"/>
        <v>510</v>
      </c>
      <c r="M518" s="287">
        <v>1.36</v>
      </c>
      <c r="N518" s="284">
        <f>VLOOKUP(1210,季財報!A:N,8,0)</f>
        <v>2</v>
      </c>
    </row>
    <row r="519" spans="1:14">
      <c r="A519" s="184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197">
        <v>0.04</v>
      </c>
      <c r="I519">
        <f t="shared" si="63"/>
        <v>330</v>
      </c>
      <c r="J519" s="190">
        <v>0.02</v>
      </c>
      <c r="K519">
        <f t="shared" si="64"/>
        <v>496</v>
      </c>
      <c r="L519" s="62">
        <f t="shared" si="65"/>
        <v>510</v>
      </c>
      <c r="M519" s="287">
        <v>1.36</v>
      </c>
      <c r="N519" s="284">
        <f>VLOOKUP(2301,季財報!A:N,8,0)</f>
        <v>3</v>
      </c>
    </row>
    <row r="520" spans="1:14">
      <c r="A520" s="184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197">
        <v>0.04</v>
      </c>
      <c r="I520">
        <f t="shared" si="63"/>
        <v>330</v>
      </c>
      <c r="J520" s="190">
        <v>0.02</v>
      </c>
      <c r="K520">
        <f t="shared" si="64"/>
        <v>496</v>
      </c>
      <c r="L520" s="62">
        <f t="shared" si="65"/>
        <v>510</v>
      </c>
      <c r="M520" s="287">
        <v>1.36</v>
      </c>
      <c r="N520" s="284">
        <f>VLOOKUP(2327,季財報!A:N,8,0)</f>
        <v>3</v>
      </c>
    </row>
    <row r="521" spans="1:14">
      <c r="A521" s="184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197">
        <v>0.04</v>
      </c>
      <c r="I521">
        <f t="shared" si="63"/>
        <v>330</v>
      </c>
      <c r="J521" s="190">
        <v>0.02</v>
      </c>
      <c r="K521">
        <f t="shared" si="64"/>
        <v>496</v>
      </c>
      <c r="L521" s="62">
        <f t="shared" si="65"/>
        <v>510</v>
      </c>
      <c r="M521" s="287">
        <v>1.36</v>
      </c>
      <c r="N521" s="284">
        <f>VLOOKUP(2382,季財報!A:N,8,0)</f>
        <v>2</v>
      </c>
    </row>
    <row r="522" spans="1:14">
      <c r="A522" s="184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197">
        <v>0.04</v>
      </c>
      <c r="I522">
        <f t="shared" si="63"/>
        <v>330</v>
      </c>
      <c r="J522" s="190">
        <v>0.02</v>
      </c>
      <c r="K522">
        <f t="shared" si="64"/>
        <v>496</v>
      </c>
      <c r="L522" s="62">
        <f t="shared" si="65"/>
        <v>510</v>
      </c>
      <c r="M522" s="287">
        <v>1.36</v>
      </c>
      <c r="N522" s="284">
        <f>VLOOKUP(2415,季財報!A:N,8,0)</f>
        <v>4</v>
      </c>
    </row>
    <row r="523" spans="1:14">
      <c r="A523" s="184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197">
        <v>0.04</v>
      </c>
      <c r="I523">
        <f t="shared" si="63"/>
        <v>330</v>
      </c>
      <c r="J523" s="190">
        <v>0.02</v>
      </c>
      <c r="K523">
        <f t="shared" si="64"/>
        <v>496</v>
      </c>
      <c r="L523" s="62">
        <f t="shared" si="65"/>
        <v>510</v>
      </c>
      <c r="M523" s="287">
        <v>1.36</v>
      </c>
      <c r="N523" s="284">
        <f>VLOOKUP(2433,季財報!A:N,8,0)</f>
        <v>4</v>
      </c>
    </row>
    <row r="524" spans="1:14">
      <c r="A524" s="184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197">
        <v>0.04</v>
      </c>
      <c r="I524">
        <f t="shared" si="63"/>
        <v>330</v>
      </c>
      <c r="J524" s="190">
        <v>0.02</v>
      </c>
      <c r="K524">
        <f t="shared" si="64"/>
        <v>496</v>
      </c>
      <c r="L524" s="62">
        <f t="shared" si="65"/>
        <v>510</v>
      </c>
      <c r="M524" s="287">
        <v>1.36</v>
      </c>
      <c r="N524" s="284">
        <f>VLOOKUP(2472,季財報!A:N,8,0)</f>
        <v>3</v>
      </c>
    </row>
    <row r="525" spans="1:14">
      <c r="A525" s="184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197">
        <v>0.04</v>
      </c>
      <c r="I525">
        <f t="shared" si="63"/>
        <v>330</v>
      </c>
      <c r="J525" s="190">
        <v>0.02</v>
      </c>
      <c r="K525">
        <f t="shared" si="64"/>
        <v>496</v>
      </c>
      <c r="L525" s="62">
        <f t="shared" si="65"/>
        <v>510</v>
      </c>
      <c r="M525" s="287">
        <v>1.36</v>
      </c>
      <c r="N525" s="284">
        <f>VLOOKUP(2536,季財報!A:N,8,0)</f>
        <v>3</v>
      </c>
    </row>
    <row r="526" spans="1:14">
      <c r="A526" s="184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197">
        <v>0.04</v>
      </c>
      <c r="I526">
        <f t="shared" si="63"/>
        <v>330</v>
      </c>
      <c r="J526" s="190">
        <v>0.02</v>
      </c>
      <c r="K526">
        <f t="shared" si="64"/>
        <v>496</v>
      </c>
      <c r="L526" s="62">
        <f t="shared" si="65"/>
        <v>510</v>
      </c>
      <c r="M526" s="287">
        <v>1.36</v>
      </c>
      <c r="N526" s="284">
        <f>VLOOKUP(3044,季財報!A:N,8,0)</f>
        <v>5</v>
      </c>
    </row>
    <row r="527" spans="1:14">
      <c r="A527" s="184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197">
        <v>0.04</v>
      </c>
      <c r="I527">
        <f t="shared" si="63"/>
        <v>330</v>
      </c>
      <c r="J527" s="190">
        <v>0.02</v>
      </c>
      <c r="K527">
        <f t="shared" si="64"/>
        <v>496</v>
      </c>
      <c r="L527" s="62">
        <f t="shared" si="65"/>
        <v>510</v>
      </c>
      <c r="M527" s="287">
        <v>1.36</v>
      </c>
      <c r="N527" s="284">
        <f>VLOOKUP(3068,季財報!A:N,8,0)</f>
        <v>5</v>
      </c>
    </row>
    <row r="528" spans="1:14">
      <c r="A528" s="184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197">
        <v>0.04</v>
      </c>
      <c r="I528">
        <f t="shared" si="63"/>
        <v>330</v>
      </c>
      <c r="J528" s="190">
        <v>0.02</v>
      </c>
      <c r="K528">
        <f t="shared" si="64"/>
        <v>496</v>
      </c>
      <c r="L528" s="62">
        <f t="shared" si="65"/>
        <v>510</v>
      </c>
      <c r="M528" s="287">
        <v>1.36</v>
      </c>
      <c r="N528" s="284">
        <f>VLOOKUP(8933,季財報!A:N,8,0)</f>
        <v>4</v>
      </c>
    </row>
    <row r="529" spans="1:14">
      <c r="A529" s="184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197">
        <v>0.04</v>
      </c>
      <c r="I529">
        <f t="shared" si="63"/>
        <v>330</v>
      </c>
      <c r="J529" s="190">
        <v>0.02</v>
      </c>
      <c r="K529">
        <f t="shared" si="64"/>
        <v>496</v>
      </c>
      <c r="L529" s="62">
        <f t="shared" si="65"/>
        <v>510</v>
      </c>
      <c r="M529" s="287">
        <v>1.36</v>
      </c>
      <c r="N529" s="284">
        <f>VLOOKUP(8112,季財報!A:N,8,0)</f>
        <v>4</v>
      </c>
    </row>
    <row r="530" spans="1:14">
      <c r="A530" s="184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197">
        <v>0.04</v>
      </c>
      <c r="I530">
        <f t="shared" si="63"/>
        <v>330</v>
      </c>
      <c r="J530" s="190">
        <v>0.02</v>
      </c>
      <c r="K530">
        <f t="shared" si="64"/>
        <v>496</v>
      </c>
      <c r="L530" s="62">
        <f t="shared" si="65"/>
        <v>510</v>
      </c>
      <c r="M530" s="287">
        <v>1.29</v>
      </c>
      <c r="N530" s="284">
        <f>VLOOKUP(4745,季財報!A:N,8,0)</f>
        <v>0</v>
      </c>
    </row>
    <row r="531" spans="1:14">
      <c r="A531" s="184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197">
        <v>0.04</v>
      </c>
      <c r="I531">
        <f t="shared" si="63"/>
        <v>330</v>
      </c>
      <c r="J531" s="190">
        <v>0.02</v>
      </c>
      <c r="K531">
        <f t="shared" si="64"/>
        <v>496</v>
      </c>
      <c r="L531" s="62">
        <f t="shared" si="65"/>
        <v>510</v>
      </c>
      <c r="M531" s="287">
        <v>1.29</v>
      </c>
      <c r="N531" s="284">
        <f>VLOOKUP(2392,季財報!A:N,8,0)</f>
        <v>3</v>
      </c>
    </row>
    <row r="532" spans="1:14">
      <c r="A532" s="184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197">
        <v>0.04</v>
      </c>
      <c r="I532">
        <f t="shared" si="63"/>
        <v>330</v>
      </c>
      <c r="J532" s="190">
        <v>0.02</v>
      </c>
      <c r="K532">
        <f t="shared" si="64"/>
        <v>496</v>
      </c>
      <c r="L532" s="62">
        <f t="shared" si="65"/>
        <v>510</v>
      </c>
      <c r="M532" s="287">
        <v>1.29</v>
      </c>
      <c r="N532" s="284">
        <f>VLOOKUP(3010,季財報!A:N,8,0)</f>
        <v>1</v>
      </c>
    </row>
    <row r="533" spans="1:14">
      <c r="A533" s="184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197">
        <v>0.04</v>
      </c>
      <c r="I533">
        <f t="shared" si="63"/>
        <v>330</v>
      </c>
      <c r="J533" s="190">
        <v>0.02</v>
      </c>
      <c r="K533">
        <f t="shared" si="64"/>
        <v>496</v>
      </c>
      <c r="L533" s="62">
        <f t="shared" si="65"/>
        <v>510</v>
      </c>
      <c r="M533" s="287">
        <v>1.18</v>
      </c>
      <c r="N533" s="284">
        <f>VLOOKUP(3360,季財報!A:N,8,0)</f>
        <v>1</v>
      </c>
    </row>
    <row r="534" spans="1:14">
      <c r="A534" s="184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197">
        <v>0.04</v>
      </c>
      <c r="I534">
        <f t="shared" si="63"/>
        <v>330</v>
      </c>
      <c r="J534" s="190">
        <v>0.02</v>
      </c>
      <c r="K534">
        <f t="shared" si="64"/>
        <v>496</v>
      </c>
      <c r="L534" s="62">
        <f t="shared" si="65"/>
        <v>510</v>
      </c>
      <c r="M534" s="287">
        <v>1.18</v>
      </c>
      <c r="N534" s="284">
        <f>VLOOKUP(3434,季財報!A:N,8,0)</f>
        <v>4</v>
      </c>
    </row>
    <row r="535" spans="1:14">
      <c r="A535" s="184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197">
        <v>0.04</v>
      </c>
      <c r="I535">
        <f t="shared" si="63"/>
        <v>330</v>
      </c>
      <c r="J535" s="190">
        <v>0.02</v>
      </c>
      <c r="K535">
        <f t="shared" si="64"/>
        <v>496</v>
      </c>
      <c r="L535" s="62">
        <f t="shared" si="65"/>
        <v>510</v>
      </c>
      <c r="M535" s="287">
        <v>1.18</v>
      </c>
      <c r="N535" s="284">
        <f>VLOOKUP(5534,季財報!A:N,8,0)</f>
        <v>2</v>
      </c>
    </row>
    <row r="536" spans="1:14">
      <c r="A536" s="184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197">
        <v>0.06</v>
      </c>
      <c r="I536">
        <f>RANK(0.06,H:H,0)</f>
        <v>155</v>
      </c>
      <c r="J536" s="190">
        <v>0.01</v>
      </c>
      <c r="K536">
        <f>RANK(0.01,J:J,0)</f>
        <v>708</v>
      </c>
      <c r="L536" s="62">
        <f>RANK(1.76,M:M,0)</f>
        <v>535</v>
      </c>
      <c r="M536" s="287">
        <v>1.1399999999999999</v>
      </c>
      <c r="N536" s="284">
        <f>VLOOKUP(1527,季財報!A:N,8,0)</f>
        <v>3</v>
      </c>
    </row>
    <row r="537" spans="1:14">
      <c r="A537" s="184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197">
        <v>0.06</v>
      </c>
      <c r="I537">
        <f>RANK(0.06,H:H,0)</f>
        <v>155</v>
      </c>
      <c r="J537" s="190">
        <v>0.01</v>
      </c>
      <c r="K537">
        <f>RANK(0.01,J:J,0)</f>
        <v>708</v>
      </c>
      <c r="L537" s="62">
        <f>RANK(1.76,M:M,0)</f>
        <v>535</v>
      </c>
      <c r="M537" s="287">
        <v>1.1399999999999999</v>
      </c>
      <c r="N537" s="284">
        <f>VLOOKUP(5871,季財報!A:N,8,0)</f>
        <v>4</v>
      </c>
    </row>
    <row r="538" spans="1:14">
      <c r="A538" s="184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197">
        <v>0.05</v>
      </c>
      <c r="I538">
        <f>RANK(0.05,H:H,0)</f>
        <v>231</v>
      </c>
      <c r="J538" s="190">
        <v>0.01</v>
      </c>
      <c r="K538">
        <f>RANK(0.01,J:J,0)</f>
        <v>708</v>
      </c>
      <c r="L538" s="62">
        <f>RANK(1.62,M:M,0)</f>
        <v>537</v>
      </c>
      <c r="M538" s="287">
        <v>1.1399999999999999</v>
      </c>
      <c r="N538" s="284">
        <f>VLOOKUP(6172,季財報!A:N,8,0)</f>
        <v>3</v>
      </c>
    </row>
    <row r="539" spans="1:14">
      <c r="A539" s="184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197">
        <v>0.05</v>
      </c>
      <c r="I539">
        <f>RANK(0.05,H:H,0)</f>
        <v>231</v>
      </c>
      <c r="J539" s="190">
        <v>0.01</v>
      </c>
      <c r="K539">
        <f>RANK(0.01,J:J,0)</f>
        <v>708</v>
      </c>
      <c r="L539" s="62">
        <f>RANK(1.62,M:M,0)</f>
        <v>537</v>
      </c>
      <c r="M539" s="287">
        <v>1.1399999999999999</v>
      </c>
      <c r="N539" s="284">
        <f>VLOOKUP(1437,季財報!A:N,8,0)</f>
        <v>4</v>
      </c>
    </row>
    <row r="540" spans="1:14">
      <c r="A540" s="184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197">
        <v>0.42</v>
      </c>
      <c r="I540">
        <f>RANK(0.42,H:H,0)</f>
        <v>6</v>
      </c>
      <c r="J540" s="190">
        <v>0</v>
      </c>
      <c r="K540">
        <f>RANK(0,J:J,0)</f>
        <v>945</v>
      </c>
      <c r="L540" s="62">
        <f>RANK(1.6,M:M,0)</f>
        <v>539</v>
      </c>
      <c r="M540" s="287">
        <v>1.1399999999999999</v>
      </c>
      <c r="N540" s="284">
        <f>VLOOKUP(3252,季財報!A:N,8,0)</f>
        <v>1</v>
      </c>
    </row>
    <row r="541" spans="1:14">
      <c r="A541" s="184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197">
        <v>0.02</v>
      </c>
      <c r="I541">
        <f t="shared" ref="I541:I547" si="66">RANK(0.02,H:H,0)</f>
        <v>619</v>
      </c>
      <c r="J541" s="190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287">
        <v>1.1399999999999999</v>
      </c>
      <c r="N541" s="284">
        <f>VLOOKUP(9926,季財報!A:N,8,0)</f>
        <v>2</v>
      </c>
    </row>
    <row r="542" spans="1:14">
      <c r="A542" s="184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197">
        <v>0.02</v>
      </c>
      <c r="I542">
        <f t="shared" si="66"/>
        <v>619</v>
      </c>
      <c r="J542" s="190">
        <v>0.03</v>
      </c>
      <c r="K542">
        <f t="shared" si="67"/>
        <v>334</v>
      </c>
      <c r="L542" s="62">
        <f t="shared" si="68"/>
        <v>540</v>
      </c>
      <c r="M542" s="287">
        <v>1.1399999999999999</v>
      </c>
      <c r="N542" s="284">
        <f>VLOOKUP(8450,季財報!A:N,8,0)</f>
        <v>3</v>
      </c>
    </row>
    <row r="543" spans="1:14">
      <c r="A543" s="184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197">
        <v>0.02</v>
      </c>
      <c r="I543">
        <f t="shared" si="66"/>
        <v>619</v>
      </c>
      <c r="J543" s="190">
        <v>0.03</v>
      </c>
      <c r="K543">
        <f t="shared" si="67"/>
        <v>334</v>
      </c>
      <c r="L543" s="62">
        <f t="shared" si="68"/>
        <v>540</v>
      </c>
      <c r="M543" s="287">
        <v>1.1399999999999999</v>
      </c>
      <c r="N543" s="284">
        <f>VLOOKUP(2449,季財報!A:N,8,0)</f>
        <v>1</v>
      </c>
    </row>
    <row r="544" spans="1:14">
      <c r="A544" s="184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197">
        <v>0.02</v>
      </c>
      <c r="I544">
        <f t="shared" si="66"/>
        <v>619</v>
      </c>
      <c r="J544" s="190">
        <v>0.03</v>
      </c>
      <c r="K544">
        <f t="shared" si="67"/>
        <v>334</v>
      </c>
      <c r="L544" s="62">
        <f t="shared" si="68"/>
        <v>540</v>
      </c>
      <c r="M544" s="287">
        <v>1.1399999999999999</v>
      </c>
      <c r="N544" s="284">
        <f>VLOOKUP(2605,季財報!A:N,8,0)</f>
        <v>5</v>
      </c>
    </row>
    <row r="545" spans="1:14">
      <c r="A545" s="184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197">
        <v>0.02</v>
      </c>
      <c r="I545">
        <f t="shared" si="66"/>
        <v>619</v>
      </c>
      <c r="J545" s="190">
        <v>0.03</v>
      </c>
      <c r="K545">
        <f t="shared" si="67"/>
        <v>334</v>
      </c>
      <c r="L545" s="62">
        <f t="shared" si="68"/>
        <v>540</v>
      </c>
      <c r="M545" s="287">
        <v>1.1399999999999999</v>
      </c>
      <c r="N545" s="284">
        <f>VLOOKUP(2610,季財報!A:N,8,0)</f>
        <v>4</v>
      </c>
    </row>
    <row r="546" spans="1:14">
      <c r="A546" s="184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197">
        <v>0.02</v>
      </c>
      <c r="I546">
        <f t="shared" si="66"/>
        <v>619</v>
      </c>
      <c r="J546" s="190">
        <v>0.03</v>
      </c>
      <c r="K546">
        <f t="shared" si="67"/>
        <v>334</v>
      </c>
      <c r="L546" s="62">
        <f t="shared" si="68"/>
        <v>540</v>
      </c>
      <c r="M546" s="287">
        <v>1.1399999999999999</v>
      </c>
      <c r="N546" s="284">
        <f>VLOOKUP(8917,季財報!A:N,8,0)</f>
        <v>3</v>
      </c>
    </row>
    <row r="547" spans="1:14">
      <c r="A547" s="184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197">
        <v>0.02</v>
      </c>
      <c r="I547">
        <f t="shared" si="66"/>
        <v>619</v>
      </c>
      <c r="J547" s="190">
        <v>0.03</v>
      </c>
      <c r="K547">
        <f t="shared" si="67"/>
        <v>334</v>
      </c>
      <c r="L547" s="62">
        <f t="shared" si="68"/>
        <v>540</v>
      </c>
      <c r="M547" s="287">
        <v>1.1399999999999999</v>
      </c>
      <c r="N547" s="284">
        <f>VLOOKUP(1752,季財報!A:N,8,0)</f>
        <v>3</v>
      </c>
    </row>
    <row r="548" spans="1:14">
      <c r="A548" s="184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197">
        <v>0.15</v>
      </c>
      <c r="I548">
        <f>RANK(0.15,H:H,0)</f>
        <v>17</v>
      </c>
      <c r="J548" s="190">
        <v>0</v>
      </c>
      <c r="K548">
        <f>RANK(0,J:J,0)</f>
        <v>945</v>
      </c>
      <c r="L548" s="62">
        <f t="shared" ref="L548:L579" si="69">RANK(1.58,M:M,0)</f>
        <v>547</v>
      </c>
      <c r="M548" s="287">
        <v>1.1399999999999999</v>
      </c>
      <c r="N548" s="284">
        <f>VLOOKUP(1906,季財報!A:N,8,0)</f>
        <v>3</v>
      </c>
    </row>
    <row r="549" spans="1:14">
      <c r="A549" s="184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197">
        <v>0.03</v>
      </c>
      <c r="I549">
        <f t="shared" ref="I549:I580" si="70">RANK(0.03,H:H,0)</f>
        <v>466</v>
      </c>
      <c r="J549" s="190">
        <v>0.02</v>
      </c>
      <c r="K549">
        <f t="shared" ref="K549:K580" si="71">RANK(0.02,J:J,0)</f>
        <v>496</v>
      </c>
      <c r="L549" s="62">
        <f t="shared" si="69"/>
        <v>547</v>
      </c>
      <c r="M549" s="287">
        <v>1.1399999999999999</v>
      </c>
      <c r="N549" s="284">
        <f>VLOOKUP(8081,季財報!A:N,8,0)</f>
        <v>2</v>
      </c>
    </row>
    <row r="550" spans="1:14">
      <c r="A550" s="184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197">
        <v>0.03</v>
      </c>
      <c r="I550">
        <f t="shared" si="70"/>
        <v>466</v>
      </c>
      <c r="J550" s="190">
        <v>0.02</v>
      </c>
      <c r="K550">
        <f t="shared" si="71"/>
        <v>496</v>
      </c>
      <c r="L550" s="62">
        <f t="shared" si="69"/>
        <v>547</v>
      </c>
      <c r="M550" s="287">
        <v>1.1399999999999999</v>
      </c>
      <c r="N550" s="284">
        <f>VLOOKUP(8213,季財報!A:N,8,0)</f>
        <v>3</v>
      </c>
    </row>
    <row r="551" spans="1:14">
      <c r="A551" s="184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197">
        <v>0.03</v>
      </c>
      <c r="I551">
        <f t="shared" si="70"/>
        <v>466</v>
      </c>
      <c r="J551" s="190">
        <v>0.02</v>
      </c>
      <c r="K551">
        <f t="shared" si="71"/>
        <v>496</v>
      </c>
      <c r="L551" s="62">
        <f t="shared" si="69"/>
        <v>547</v>
      </c>
      <c r="M551" s="287">
        <v>1.1399999999999999</v>
      </c>
      <c r="N551" s="284">
        <f>VLOOKUP(6247,季財報!A:N,8,0)</f>
        <v>3</v>
      </c>
    </row>
    <row r="552" spans="1:14">
      <c r="A552" s="184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197">
        <v>0.03</v>
      </c>
      <c r="I552">
        <f t="shared" si="70"/>
        <v>466</v>
      </c>
      <c r="J552" s="190">
        <v>0.02</v>
      </c>
      <c r="K552">
        <f t="shared" si="71"/>
        <v>496</v>
      </c>
      <c r="L552" s="62">
        <f t="shared" si="69"/>
        <v>547</v>
      </c>
      <c r="M552" s="287">
        <v>1.1399999999999999</v>
      </c>
      <c r="N552" s="284">
        <f>VLOOKUP(6257,季財報!A:N,8,0)</f>
        <v>2</v>
      </c>
    </row>
    <row r="553" spans="1:14">
      <c r="A553" s="184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197">
        <v>0.03</v>
      </c>
      <c r="I553">
        <f t="shared" si="70"/>
        <v>466</v>
      </c>
      <c r="J553" s="190">
        <v>0.02</v>
      </c>
      <c r="K553">
        <f t="shared" si="71"/>
        <v>496</v>
      </c>
      <c r="L553" s="62">
        <f t="shared" si="69"/>
        <v>547</v>
      </c>
      <c r="M553" s="287">
        <v>1.1399999999999999</v>
      </c>
      <c r="N553" s="284">
        <f>VLOOKUP(8099,季財報!A:N,8,0)</f>
        <v>1</v>
      </c>
    </row>
    <row r="554" spans="1:14">
      <c r="A554" s="184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197">
        <v>0.03</v>
      </c>
      <c r="I554">
        <f t="shared" si="70"/>
        <v>466</v>
      </c>
      <c r="J554" s="190">
        <v>0.02</v>
      </c>
      <c r="K554">
        <f t="shared" si="71"/>
        <v>496</v>
      </c>
      <c r="L554" s="62">
        <f t="shared" si="69"/>
        <v>547</v>
      </c>
      <c r="M554" s="287">
        <v>1.1399999999999999</v>
      </c>
      <c r="N554" s="284">
        <f>VLOOKUP(6205,季財報!A:N,8,0)</f>
        <v>5</v>
      </c>
    </row>
    <row r="555" spans="1:14">
      <c r="A555" s="184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197">
        <v>0.03</v>
      </c>
      <c r="I555">
        <f t="shared" si="70"/>
        <v>466</v>
      </c>
      <c r="J555" s="190">
        <v>0.02</v>
      </c>
      <c r="K555">
        <f t="shared" si="71"/>
        <v>496</v>
      </c>
      <c r="L555" s="62">
        <f t="shared" si="69"/>
        <v>547</v>
      </c>
      <c r="M555" s="287">
        <v>1.1399999999999999</v>
      </c>
      <c r="N555" s="284">
        <f>VLOOKUP(4129,季財報!A:N,8,0)</f>
        <v>3</v>
      </c>
    </row>
    <row r="556" spans="1:14">
      <c r="A556" s="184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197">
        <v>0.03</v>
      </c>
      <c r="I556">
        <f t="shared" si="70"/>
        <v>466</v>
      </c>
      <c r="J556" s="190">
        <v>0.02</v>
      </c>
      <c r="K556">
        <f t="shared" si="71"/>
        <v>496</v>
      </c>
      <c r="L556" s="62">
        <f t="shared" si="69"/>
        <v>547</v>
      </c>
      <c r="M556" s="287">
        <v>1.1399999999999999</v>
      </c>
      <c r="N556" s="284">
        <f>VLOOKUP(4138,季財報!A:N,8,0)</f>
        <v>3</v>
      </c>
    </row>
    <row r="557" spans="1:14">
      <c r="A557" s="184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197">
        <v>0.03</v>
      </c>
      <c r="I557">
        <f t="shared" si="70"/>
        <v>466</v>
      </c>
      <c r="J557" s="190">
        <v>0.02</v>
      </c>
      <c r="K557">
        <f t="shared" si="71"/>
        <v>496</v>
      </c>
      <c r="L557" s="62">
        <f t="shared" si="69"/>
        <v>547</v>
      </c>
      <c r="M557" s="287">
        <v>1.1399999999999999</v>
      </c>
      <c r="N557" s="284">
        <f>VLOOKUP(4164,季財報!A:N,8,0)</f>
        <v>2</v>
      </c>
    </row>
    <row r="558" spans="1:14">
      <c r="A558" s="184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197">
        <v>0.03</v>
      </c>
      <c r="I558">
        <f t="shared" si="70"/>
        <v>466</v>
      </c>
      <c r="J558" s="190">
        <v>0.02</v>
      </c>
      <c r="K558">
        <f t="shared" si="71"/>
        <v>496</v>
      </c>
      <c r="L558" s="62">
        <f t="shared" si="69"/>
        <v>547</v>
      </c>
      <c r="M558" s="287">
        <v>1.1399999999999999</v>
      </c>
      <c r="N558" s="284">
        <f>VLOOKUP(4532,季財報!A:N,8,0)</f>
        <v>2</v>
      </c>
    </row>
    <row r="559" spans="1:14">
      <c r="A559" s="184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197">
        <v>0.03</v>
      </c>
      <c r="I559">
        <f t="shared" si="70"/>
        <v>466</v>
      </c>
      <c r="J559" s="190">
        <v>0.02</v>
      </c>
      <c r="K559">
        <f t="shared" si="71"/>
        <v>496</v>
      </c>
      <c r="L559" s="62">
        <f t="shared" si="69"/>
        <v>547</v>
      </c>
      <c r="M559" s="287">
        <v>1.1399999999999999</v>
      </c>
      <c r="N559" s="284">
        <f>VLOOKUP(4746,季財報!A:N,8,0)</f>
        <v>5</v>
      </c>
    </row>
    <row r="560" spans="1:14">
      <c r="A560" s="184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197">
        <v>0.03</v>
      </c>
      <c r="I560">
        <f t="shared" si="70"/>
        <v>466</v>
      </c>
      <c r="J560" s="190">
        <v>0.02</v>
      </c>
      <c r="K560">
        <f t="shared" si="71"/>
        <v>496</v>
      </c>
      <c r="L560" s="62">
        <f t="shared" si="69"/>
        <v>547</v>
      </c>
      <c r="M560" s="287">
        <v>1.1399999999999999</v>
      </c>
      <c r="N560" s="284">
        <f>VLOOKUP(5403,季財報!A:N,8,0)</f>
        <v>1</v>
      </c>
    </row>
    <row r="561" spans="1:14">
      <c r="A561" s="184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197">
        <v>0.03</v>
      </c>
      <c r="I561">
        <f t="shared" si="70"/>
        <v>466</v>
      </c>
      <c r="J561" s="190">
        <v>0.02</v>
      </c>
      <c r="K561">
        <f t="shared" si="71"/>
        <v>496</v>
      </c>
      <c r="L561" s="62">
        <f t="shared" si="69"/>
        <v>547</v>
      </c>
      <c r="M561" s="287">
        <v>1.1399999999999999</v>
      </c>
      <c r="N561" s="284">
        <f>VLOOKUP(1220,季財報!A:N,8,0)</f>
        <v>2</v>
      </c>
    </row>
    <row r="562" spans="1:14">
      <c r="A562" s="184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197">
        <v>0.03</v>
      </c>
      <c r="I562">
        <f t="shared" si="70"/>
        <v>466</v>
      </c>
      <c r="J562" s="190">
        <v>0.02</v>
      </c>
      <c r="K562">
        <f t="shared" si="71"/>
        <v>496</v>
      </c>
      <c r="L562" s="62">
        <f t="shared" si="69"/>
        <v>547</v>
      </c>
      <c r="M562" s="287">
        <v>1.1399999999999999</v>
      </c>
      <c r="N562" s="284">
        <f>VLOOKUP(1225,季財報!A:N,8,0)</f>
        <v>1</v>
      </c>
    </row>
    <row r="563" spans="1:14">
      <c r="A563" s="184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197">
        <v>0.03</v>
      </c>
      <c r="I563">
        <f t="shared" si="70"/>
        <v>466</v>
      </c>
      <c r="J563" s="190">
        <v>0.02</v>
      </c>
      <c r="K563">
        <f t="shared" si="71"/>
        <v>496</v>
      </c>
      <c r="L563" s="62">
        <f t="shared" si="69"/>
        <v>547</v>
      </c>
      <c r="M563" s="287">
        <v>1.1399999999999999</v>
      </c>
      <c r="N563" s="284">
        <f>VLOOKUP(1312,季財報!A:N,8,0)</f>
        <v>2</v>
      </c>
    </row>
    <row r="564" spans="1:14">
      <c r="A564" s="184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197">
        <v>0.03</v>
      </c>
      <c r="I564">
        <f t="shared" si="70"/>
        <v>466</v>
      </c>
      <c r="J564" s="190">
        <v>0.02</v>
      </c>
      <c r="K564">
        <f t="shared" si="71"/>
        <v>496</v>
      </c>
      <c r="L564" s="62">
        <f t="shared" si="69"/>
        <v>547</v>
      </c>
      <c r="M564" s="287">
        <v>1.1399999999999999</v>
      </c>
      <c r="N564" s="284">
        <f>VLOOKUP(1504,季財報!A:N,8,0)</f>
        <v>2</v>
      </c>
    </row>
    <row r="565" spans="1:14">
      <c r="A565" s="184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197">
        <v>0.03</v>
      </c>
      <c r="I565">
        <f t="shared" si="70"/>
        <v>466</v>
      </c>
      <c r="J565" s="190">
        <v>0.02</v>
      </c>
      <c r="K565">
        <f t="shared" si="71"/>
        <v>496</v>
      </c>
      <c r="L565" s="62">
        <f t="shared" si="69"/>
        <v>547</v>
      </c>
      <c r="M565" s="287">
        <v>1.1399999999999999</v>
      </c>
      <c r="N565" s="284">
        <f>VLOOKUP(1568,季財報!A:N,8,0)</f>
        <v>3</v>
      </c>
    </row>
    <row r="566" spans="1:14">
      <c r="A566" s="184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197">
        <v>0.03</v>
      </c>
      <c r="I566">
        <f t="shared" si="70"/>
        <v>466</v>
      </c>
      <c r="J566" s="190">
        <v>0.02</v>
      </c>
      <c r="K566">
        <f t="shared" si="71"/>
        <v>496</v>
      </c>
      <c r="L566" s="62">
        <f t="shared" si="69"/>
        <v>547</v>
      </c>
      <c r="M566" s="287">
        <v>1.1399999999999999</v>
      </c>
      <c r="N566" s="284">
        <f>VLOOKUP(1720,季財報!A:N,8,0)</f>
        <v>3</v>
      </c>
    </row>
    <row r="567" spans="1:14">
      <c r="A567" s="184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197">
        <v>0.03</v>
      </c>
      <c r="I567">
        <f t="shared" si="70"/>
        <v>466</v>
      </c>
      <c r="J567" s="190">
        <v>0.02</v>
      </c>
      <c r="K567">
        <f t="shared" si="71"/>
        <v>496</v>
      </c>
      <c r="L567" s="62">
        <f t="shared" si="69"/>
        <v>547</v>
      </c>
      <c r="M567" s="287">
        <v>1.1399999999999999</v>
      </c>
      <c r="N567" s="284">
        <f>VLOOKUP(1724,季財報!A:N,8,0)</f>
        <v>4</v>
      </c>
    </row>
    <row r="568" spans="1:14">
      <c r="A568" s="184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197">
        <v>0.03</v>
      </c>
      <c r="I568">
        <f t="shared" si="70"/>
        <v>466</v>
      </c>
      <c r="J568" s="190">
        <v>0.02</v>
      </c>
      <c r="K568">
        <f t="shared" si="71"/>
        <v>496</v>
      </c>
      <c r="L568" s="62">
        <f t="shared" si="69"/>
        <v>547</v>
      </c>
      <c r="M568" s="287">
        <v>1.1399999999999999</v>
      </c>
      <c r="N568" s="284">
        <f>VLOOKUP(1789,季財報!A:N,8,0)</f>
        <v>3</v>
      </c>
    </row>
    <row r="569" spans="1:14">
      <c r="A569" s="184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197">
        <v>0.03</v>
      </c>
      <c r="I569">
        <f t="shared" si="70"/>
        <v>466</v>
      </c>
      <c r="J569" s="190">
        <v>0.02</v>
      </c>
      <c r="K569">
        <f t="shared" si="71"/>
        <v>496</v>
      </c>
      <c r="L569" s="62">
        <f t="shared" si="69"/>
        <v>547</v>
      </c>
      <c r="M569" s="287">
        <v>1.1399999999999999</v>
      </c>
      <c r="N569" s="284">
        <f>VLOOKUP(2015,季財報!A:N,8,0)</f>
        <v>3</v>
      </c>
    </row>
    <row r="570" spans="1:14">
      <c r="A570" s="184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197">
        <v>0.03</v>
      </c>
      <c r="I570">
        <f t="shared" si="70"/>
        <v>466</v>
      </c>
      <c r="J570" s="190">
        <v>0.02</v>
      </c>
      <c r="K570">
        <f t="shared" si="71"/>
        <v>496</v>
      </c>
      <c r="L570" s="62">
        <f t="shared" si="69"/>
        <v>547</v>
      </c>
      <c r="M570" s="287">
        <v>1.1399999999999999</v>
      </c>
      <c r="N570" s="284">
        <f>VLOOKUP(2103,季財報!A:N,8,0)</f>
        <v>0</v>
      </c>
    </row>
    <row r="571" spans="1:14">
      <c r="A571" s="184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197">
        <v>0.03</v>
      </c>
      <c r="I571">
        <f t="shared" si="70"/>
        <v>466</v>
      </c>
      <c r="J571" s="190">
        <v>0.02</v>
      </c>
      <c r="K571">
        <f t="shared" si="71"/>
        <v>496</v>
      </c>
      <c r="L571" s="62">
        <f t="shared" si="69"/>
        <v>547</v>
      </c>
      <c r="M571" s="287">
        <v>1.1399999999999999</v>
      </c>
      <c r="N571" s="284">
        <f>VLOOKUP(2324,季財報!A:N,8,0)</f>
        <v>2</v>
      </c>
    </row>
    <row r="572" spans="1:14">
      <c r="A572" s="184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197">
        <v>0.03</v>
      </c>
      <c r="I572">
        <f t="shared" si="70"/>
        <v>466</v>
      </c>
      <c r="J572" s="190">
        <v>0.02</v>
      </c>
      <c r="K572">
        <f t="shared" si="71"/>
        <v>496</v>
      </c>
      <c r="L572" s="62">
        <f t="shared" si="69"/>
        <v>547</v>
      </c>
      <c r="M572" s="287">
        <v>1.1399999999999999</v>
      </c>
      <c r="N572" s="284">
        <f>VLOOKUP(2328,季財報!A:N,8,0)</f>
        <v>2</v>
      </c>
    </row>
    <row r="573" spans="1:14">
      <c r="A573" s="184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197">
        <v>0.03</v>
      </c>
      <c r="I573">
        <f t="shared" si="70"/>
        <v>466</v>
      </c>
      <c r="J573" s="190">
        <v>0.02</v>
      </c>
      <c r="K573">
        <f t="shared" si="71"/>
        <v>496</v>
      </c>
      <c r="L573" s="62">
        <f t="shared" si="69"/>
        <v>547</v>
      </c>
      <c r="M573" s="287">
        <v>1.1399999999999999</v>
      </c>
      <c r="N573" s="284">
        <f>VLOOKUP(2356,季財報!A:N,8,0)</f>
        <v>4</v>
      </c>
    </row>
    <row r="574" spans="1:14">
      <c r="A574" s="184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197">
        <v>0.03</v>
      </c>
      <c r="I574">
        <f t="shared" si="70"/>
        <v>466</v>
      </c>
      <c r="J574" s="190">
        <v>0.02</v>
      </c>
      <c r="K574">
        <f t="shared" si="71"/>
        <v>496</v>
      </c>
      <c r="L574" s="62">
        <f t="shared" si="69"/>
        <v>547</v>
      </c>
      <c r="M574" s="287">
        <v>1.1399999999999999</v>
      </c>
      <c r="N574" s="284">
        <f>VLOOKUP(2373,季財報!A:N,8,0)</f>
        <v>1</v>
      </c>
    </row>
    <row r="575" spans="1:14">
      <c r="A575" s="184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197">
        <v>0.03</v>
      </c>
      <c r="I575">
        <f t="shared" si="70"/>
        <v>466</v>
      </c>
      <c r="J575" s="190">
        <v>0.02</v>
      </c>
      <c r="K575">
        <f t="shared" si="71"/>
        <v>496</v>
      </c>
      <c r="L575" s="62">
        <f t="shared" si="69"/>
        <v>547</v>
      </c>
      <c r="M575" s="287">
        <v>1.1399999999999999</v>
      </c>
      <c r="N575" s="284">
        <f>VLOOKUP(2374,季財報!A:N,8,0)</f>
        <v>2</v>
      </c>
    </row>
    <row r="576" spans="1:14">
      <c r="A576" s="184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197">
        <v>0.03</v>
      </c>
      <c r="I576">
        <f t="shared" si="70"/>
        <v>466</v>
      </c>
      <c r="J576" s="190">
        <v>0.02</v>
      </c>
      <c r="K576">
        <f t="shared" si="71"/>
        <v>496</v>
      </c>
      <c r="L576" s="62">
        <f t="shared" si="69"/>
        <v>547</v>
      </c>
      <c r="M576" s="287">
        <v>1.1399999999999999</v>
      </c>
      <c r="N576" s="284">
        <f>VLOOKUP(2401,季財報!A:N,8,0)</f>
        <v>0</v>
      </c>
    </row>
    <row r="577" spans="1:14">
      <c r="A577" s="184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197">
        <v>0.03</v>
      </c>
      <c r="I577">
        <f t="shared" si="70"/>
        <v>466</v>
      </c>
      <c r="J577" s="190">
        <v>0.02</v>
      </c>
      <c r="K577">
        <f t="shared" si="71"/>
        <v>496</v>
      </c>
      <c r="L577" s="62">
        <f t="shared" si="69"/>
        <v>547</v>
      </c>
      <c r="M577" s="287">
        <v>1.1399999999999999</v>
      </c>
      <c r="N577" s="284">
        <f>VLOOKUP(2413,季財報!A:N,8,0)</f>
        <v>4</v>
      </c>
    </row>
    <row r="578" spans="1:14">
      <c r="A578" s="184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197">
        <v>0.03</v>
      </c>
      <c r="I578">
        <f t="shared" si="70"/>
        <v>466</v>
      </c>
      <c r="J578" s="190">
        <v>0.02</v>
      </c>
      <c r="K578">
        <f t="shared" si="71"/>
        <v>496</v>
      </c>
      <c r="L578" s="62">
        <f t="shared" si="69"/>
        <v>547</v>
      </c>
      <c r="M578" s="287">
        <v>1.01</v>
      </c>
      <c r="N578" s="284">
        <f>VLOOKUP(2414,季財報!A:N,8,0)</f>
        <v>1</v>
      </c>
    </row>
    <row r="579" spans="1:14">
      <c r="A579" s="184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197">
        <v>0.03</v>
      </c>
      <c r="I579">
        <f t="shared" si="70"/>
        <v>466</v>
      </c>
      <c r="J579" s="190">
        <v>0.02</v>
      </c>
      <c r="K579">
        <f t="shared" si="71"/>
        <v>496</v>
      </c>
      <c r="L579" s="62">
        <f t="shared" si="69"/>
        <v>547</v>
      </c>
      <c r="M579" s="287">
        <v>1.01</v>
      </c>
      <c r="N579" s="284">
        <f>VLOOKUP(2419,季財報!A:N,8,0)</f>
        <v>4</v>
      </c>
    </row>
    <row r="580" spans="1:14">
      <c r="A580" s="184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197">
        <v>0.03</v>
      </c>
      <c r="I580">
        <f t="shared" si="70"/>
        <v>466</v>
      </c>
      <c r="J580" s="190">
        <v>0.02</v>
      </c>
      <c r="K580">
        <f t="shared" si="71"/>
        <v>496</v>
      </c>
      <c r="L580" s="62">
        <f t="shared" ref="L580:L607" si="72">RANK(1.58,M:M,0)</f>
        <v>547</v>
      </c>
      <c r="M580" s="287">
        <v>1.01</v>
      </c>
      <c r="N580" s="284">
        <f>VLOOKUP(2426,季財報!A:N,8,0)</f>
        <v>2</v>
      </c>
    </row>
    <row r="581" spans="1:14">
      <c r="A581" s="184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197">
        <v>0.03</v>
      </c>
      <c r="I581">
        <f t="shared" ref="I581:I607" si="73">RANK(0.03,H:H,0)</f>
        <v>466</v>
      </c>
      <c r="J581" s="190">
        <v>0.02</v>
      </c>
      <c r="K581">
        <f t="shared" ref="K581:K607" si="74">RANK(0.02,J:J,0)</f>
        <v>496</v>
      </c>
      <c r="L581" s="62">
        <f t="shared" si="72"/>
        <v>547</v>
      </c>
      <c r="M581" s="287">
        <v>1.01</v>
      </c>
      <c r="N581" s="284">
        <f>VLOOKUP(2481,季財報!A:N,8,0)</f>
        <v>2</v>
      </c>
    </row>
    <row r="582" spans="1:14">
      <c r="A582" s="184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197">
        <v>0.03</v>
      </c>
      <c r="I582">
        <f t="shared" si="73"/>
        <v>466</v>
      </c>
      <c r="J582" s="190">
        <v>0.02</v>
      </c>
      <c r="K582">
        <f t="shared" si="74"/>
        <v>496</v>
      </c>
      <c r="L582" s="62">
        <f t="shared" si="72"/>
        <v>547</v>
      </c>
      <c r="M582" s="287">
        <v>1.01</v>
      </c>
      <c r="N582" s="284">
        <f>VLOOKUP(2492,季財報!A:N,8,0)</f>
        <v>4</v>
      </c>
    </row>
    <row r="583" spans="1:14">
      <c r="A583" s="184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197">
        <v>0.03</v>
      </c>
      <c r="I583">
        <f t="shared" si="73"/>
        <v>466</v>
      </c>
      <c r="J583" s="190">
        <v>0.02</v>
      </c>
      <c r="K583">
        <f t="shared" si="74"/>
        <v>496</v>
      </c>
      <c r="L583" s="62">
        <f t="shared" si="72"/>
        <v>547</v>
      </c>
      <c r="M583" s="287">
        <v>1.01</v>
      </c>
      <c r="N583" s="284">
        <f>VLOOKUP(2497,季財報!A:N,8,0)</f>
        <v>1</v>
      </c>
    </row>
    <row r="584" spans="1:14">
      <c r="A584" s="184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197">
        <v>0.03</v>
      </c>
      <c r="I584">
        <f t="shared" si="73"/>
        <v>466</v>
      </c>
      <c r="J584" s="190">
        <v>0.02</v>
      </c>
      <c r="K584">
        <f t="shared" si="74"/>
        <v>496</v>
      </c>
      <c r="L584" s="62">
        <f t="shared" si="72"/>
        <v>547</v>
      </c>
      <c r="M584" s="287">
        <v>1.01</v>
      </c>
      <c r="N584" s="284">
        <f>VLOOKUP(2540,季財報!A:N,8,0)</f>
        <v>1</v>
      </c>
    </row>
    <row r="585" spans="1:14">
      <c r="A585" s="184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197">
        <v>0.03</v>
      </c>
      <c r="I585">
        <f t="shared" si="73"/>
        <v>466</v>
      </c>
      <c r="J585" s="190">
        <v>0.02</v>
      </c>
      <c r="K585">
        <f t="shared" si="74"/>
        <v>496</v>
      </c>
      <c r="L585" s="62">
        <f t="shared" si="72"/>
        <v>547</v>
      </c>
      <c r="M585" s="287">
        <v>1.01</v>
      </c>
      <c r="N585" s="284">
        <f>VLOOKUP(2727,季財報!A:N,8,0)</f>
        <v>1</v>
      </c>
    </row>
    <row r="586" spans="1:14">
      <c r="A586" s="184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197">
        <v>0.03</v>
      </c>
      <c r="I586">
        <f t="shared" si="73"/>
        <v>466</v>
      </c>
      <c r="J586" s="190">
        <v>0.02</v>
      </c>
      <c r="K586">
        <f t="shared" si="74"/>
        <v>496</v>
      </c>
      <c r="L586" s="62">
        <f t="shared" si="72"/>
        <v>547</v>
      </c>
      <c r="M586" s="287">
        <v>1.01</v>
      </c>
      <c r="N586" s="284">
        <f>VLOOKUP(3005,季財報!A:N,8,0)</f>
        <v>2</v>
      </c>
    </row>
    <row r="587" spans="1:14">
      <c r="A587" s="184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197">
        <v>0.03</v>
      </c>
      <c r="I587">
        <f t="shared" si="73"/>
        <v>466</v>
      </c>
      <c r="J587" s="190">
        <v>0.02</v>
      </c>
      <c r="K587">
        <f t="shared" si="74"/>
        <v>496</v>
      </c>
      <c r="L587" s="62">
        <f t="shared" si="72"/>
        <v>547</v>
      </c>
      <c r="M587" s="287">
        <v>1.01</v>
      </c>
      <c r="N587" s="284">
        <f>VLOOKUP(3042,季財報!A:N,8,0)</f>
        <v>4</v>
      </c>
    </row>
    <row r="588" spans="1:14">
      <c r="A588" s="184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197">
        <v>0.03</v>
      </c>
      <c r="I588">
        <f t="shared" si="73"/>
        <v>466</v>
      </c>
      <c r="J588" s="190">
        <v>0.02</v>
      </c>
      <c r="K588">
        <f t="shared" si="74"/>
        <v>496</v>
      </c>
      <c r="L588" s="62">
        <f t="shared" si="72"/>
        <v>547</v>
      </c>
      <c r="M588" s="287">
        <v>1.01</v>
      </c>
      <c r="N588" s="284">
        <f>VLOOKUP(3090,季財報!A:N,8,0)</f>
        <v>2</v>
      </c>
    </row>
    <row r="589" spans="1:14">
      <c r="A589" s="184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197">
        <v>0.03</v>
      </c>
      <c r="I589">
        <f t="shared" si="73"/>
        <v>466</v>
      </c>
      <c r="J589" s="190">
        <v>0.02</v>
      </c>
      <c r="K589">
        <f t="shared" si="74"/>
        <v>496</v>
      </c>
      <c r="L589" s="62">
        <f t="shared" si="72"/>
        <v>547</v>
      </c>
      <c r="M589" s="287">
        <v>1.01</v>
      </c>
      <c r="N589" s="284">
        <f>VLOOKUP(3689,季財報!A:N,8,0)</f>
        <v>1</v>
      </c>
    </row>
    <row r="590" spans="1:14">
      <c r="A590" s="184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197">
        <v>0.03</v>
      </c>
      <c r="I590">
        <f t="shared" si="73"/>
        <v>466</v>
      </c>
      <c r="J590" s="190">
        <v>0.02</v>
      </c>
      <c r="K590">
        <f t="shared" si="74"/>
        <v>496</v>
      </c>
      <c r="L590" s="62">
        <f t="shared" si="72"/>
        <v>547</v>
      </c>
      <c r="M590" s="287">
        <v>1.01</v>
      </c>
      <c r="N590" s="284">
        <f>VLOOKUP(8931,季財報!A:N,8,0)</f>
        <v>4</v>
      </c>
    </row>
    <row r="591" spans="1:14">
      <c r="A591" s="184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197">
        <v>0.03</v>
      </c>
      <c r="I591">
        <f t="shared" si="73"/>
        <v>466</v>
      </c>
      <c r="J591" s="190">
        <v>0.02</v>
      </c>
      <c r="K591">
        <f t="shared" si="74"/>
        <v>496</v>
      </c>
      <c r="L591" s="62">
        <f t="shared" si="72"/>
        <v>547</v>
      </c>
      <c r="M591" s="287">
        <v>1.01</v>
      </c>
      <c r="N591" s="284">
        <f>VLOOKUP(6223,季財報!A:N,8,0)</f>
        <v>1</v>
      </c>
    </row>
    <row r="592" spans="1:14">
      <c r="A592" s="184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197">
        <v>0.03</v>
      </c>
      <c r="I592">
        <f t="shared" si="73"/>
        <v>466</v>
      </c>
      <c r="J592" s="190">
        <v>0.02</v>
      </c>
      <c r="K592">
        <f t="shared" si="74"/>
        <v>496</v>
      </c>
      <c r="L592" s="62">
        <f t="shared" si="72"/>
        <v>547</v>
      </c>
      <c r="M592" s="287">
        <v>1.01</v>
      </c>
      <c r="N592" s="284">
        <f>VLOOKUP(6167,季財報!A:N,8,0)</f>
        <v>1</v>
      </c>
    </row>
    <row r="593" spans="1:14">
      <c r="A593" s="184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197">
        <v>0.03</v>
      </c>
      <c r="I593">
        <f t="shared" si="73"/>
        <v>466</v>
      </c>
      <c r="J593" s="190">
        <v>0.02</v>
      </c>
      <c r="K593">
        <f t="shared" si="74"/>
        <v>496</v>
      </c>
      <c r="L593" s="62">
        <f t="shared" si="72"/>
        <v>547</v>
      </c>
      <c r="M593" s="287">
        <v>1.01</v>
      </c>
      <c r="N593" s="284">
        <f>VLOOKUP(6115,季財報!A:N,8,0)</f>
        <v>5</v>
      </c>
    </row>
    <row r="594" spans="1:14">
      <c r="A594" s="184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197">
        <v>0.03</v>
      </c>
      <c r="I594">
        <f t="shared" si="73"/>
        <v>466</v>
      </c>
      <c r="J594" s="190">
        <v>0.02</v>
      </c>
      <c r="K594">
        <f t="shared" si="74"/>
        <v>496</v>
      </c>
      <c r="L594" s="62">
        <f t="shared" si="72"/>
        <v>547</v>
      </c>
      <c r="M594" s="287">
        <v>1.01</v>
      </c>
      <c r="N594" s="284">
        <f>VLOOKUP(6154,季財報!A:N,8,0)</f>
        <v>2</v>
      </c>
    </row>
    <row r="595" spans="1:14">
      <c r="A595" s="184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197">
        <v>0.03</v>
      </c>
      <c r="I595">
        <f t="shared" si="73"/>
        <v>466</v>
      </c>
      <c r="J595" s="190">
        <v>0.02</v>
      </c>
      <c r="K595">
        <f t="shared" si="74"/>
        <v>496</v>
      </c>
      <c r="L595" s="62">
        <f t="shared" si="72"/>
        <v>547</v>
      </c>
      <c r="M595" s="287">
        <v>1.01</v>
      </c>
      <c r="N595" s="284">
        <f>VLOOKUP(5438,季財報!A:N,8,0)</f>
        <v>4</v>
      </c>
    </row>
    <row r="596" spans="1:14">
      <c r="A596" s="184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197">
        <v>0.03</v>
      </c>
      <c r="I596">
        <f t="shared" si="73"/>
        <v>466</v>
      </c>
      <c r="J596" s="190">
        <v>0.02</v>
      </c>
      <c r="K596">
        <f t="shared" si="74"/>
        <v>496</v>
      </c>
      <c r="L596" s="62">
        <f t="shared" si="72"/>
        <v>547</v>
      </c>
      <c r="M596" s="287">
        <v>1.01</v>
      </c>
      <c r="N596" s="284">
        <f>VLOOKUP(4153,季財報!A:N,8,0)</f>
        <v>3</v>
      </c>
    </row>
    <row r="597" spans="1:14">
      <c r="A597" s="184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197">
        <v>0.03</v>
      </c>
      <c r="I597">
        <f t="shared" si="73"/>
        <v>466</v>
      </c>
      <c r="J597" s="190">
        <v>0.02</v>
      </c>
      <c r="K597">
        <f t="shared" si="74"/>
        <v>496</v>
      </c>
      <c r="L597" s="62">
        <f t="shared" si="72"/>
        <v>547</v>
      </c>
      <c r="M597" s="287">
        <v>1.01</v>
      </c>
      <c r="N597" s="284">
        <f>VLOOKUP(4755,季財報!A:N,8,0)</f>
        <v>3</v>
      </c>
    </row>
    <row r="598" spans="1:14">
      <c r="A598" s="184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197">
        <v>0.03</v>
      </c>
      <c r="I598">
        <f t="shared" si="73"/>
        <v>466</v>
      </c>
      <c r="J598" s="190">
        <v>0.02</v>
      </c>
      <c r="K598">
        <f t="shared" si="74"/>
        <v>496</v>
      </c>
      <c r="L598" s="62">
        <f t="shared" si="72"/>
        <v>547</v>
      </c>
      <c r="M598" s="287">
        <v>1.01</v>
      </c>
      <c r="N598" s="284">
        <f>VLOOKUP(1339,季財報!A:N,8,0)</f>
        <v>3</v>
      </c>
    </row>
    <row r="599" spans="1:14">
      <c r="A599" s="184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197">
        <v>0.03</v>
      </c>
      <c r="I599">
        <f t="shared" si="73"/>
        <v>466</v>
      </c>
      <c r="J599" s="190">
        <v>0.02</v>
      </c>
      <c r="K599">
        <f t="shared" si="74"/>
        <v>496</v>
      </c>
      <c r="L599" s="62">
        <f t="shared" si="72"/>
        <v>547</v>
      </c>
      <c r="M599" s="287">
        <v>1.01</v>
      </c>
      <c r="N599" s="284">
        <f>VLOOKUP(1533,季財報!A:N,8,0)</f>
        <v>3</v>
      </c>
    </row>
    <row r="600" spans="1:14">
      <c r="A600" s="184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197">
        <v>0.03</v>
      </c>
      <c r="I600">
        <f t="shared" si="73"/>
        <v>466</v>
      </c>
      <c r="J600" s="190">
        <v>0.02</v>
      </c>
      <c r="K600">
        <f t="shared" si="74"/>
        <v>496</v>
      </c>
      <c r="L600" s="62">
        <f t="shared" si="72"/>
        <v>547</v>
      </c>
      <c r="M600" s="287">
        <v>1.01</v>
      </c>
      <c r="N600" s="284">
        <f>VLOOKUP(2233,季財報!A:N,8,0)</f>
        <v>1</v>
      </c>
    </row>
    <row r="601" spans="1:14">
      <c r="A601" s="184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197">
        <v>0.03</v>
      </c>
      <c r="I601">
        <f t="shared" si="73"/>
        <v>466</v>
      </c>
      <c r="J601" s="190">
        <v>0.02</v>
      </c>
      <c r="K601">
        <f t="shared" si="74"/>
        <v>496</v>
      </c>
      <c r="L601" s="62">
        <f t="shared" si="72"/>
        <v>547</v>
      </c>
      <c r="M601" s="287">
        <v>1.01</v>
      </c>
      <c r="N601" s="284">
        <f>VLOOKUP(2430,季財報!A:N,8,0)</f>
        <v>2</v>
      </c>
    </row>
    <row r="602" spans="1:14">
      <c r="A602" s="184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197">
        <v>0.03</v>
      </c>
      <c r="I602">
        <f t="shared" si="73"/>
        <v>466</v>
      </c>
      <c r="J602" s="190">
        <v>0.02</v>
      </c>
      <c r="K602">
        <f t="shared" si="74"/>
        <v>496</v>
      </c>
      <c r="L602" s="62">
        <f t="shared" si="72"/>
        <v>547</v>
      </c>
      <c r="M602" s="287">
        <v>1.01</v>
      </c>
      <c r="N602" s="284">
        <f>VLOOKUP(2543,季財報!A:N,8,0)</f>
        <v>1</v>
      </c>
    </row>
    <row r="603" spans="1:14">
      <c r="A603" s="184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197">
        <v>0.03</v>
      </c>
      <c r="I603">
        <f t="shared" si="73"/>
        <v>466</v>
      </c>
      <c r="J603" s="190">
        <v>0.02</v>
      </c>
      <c r="K603">
        <f t="shared" si="74"/>
        <v>496</v>
      </c>
      <c r="L603" s="62">
        <f t="shared" si="72"/>
        <v>547</v>
      </c>
      <c r="M603" s="287">
        <v>1.01</v>
      </c>
      <c r="N603" s="284">
        <f>VLOOKUP(2908,季財報!A:N,8,0)</f>
        <v>1</v>
      </c>
    </row>
    <row r="604" spans="1:14">
      <c r="A604" s="184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197">
        <v>0.03</v>
      </c>
      <c r="I604">
        <f t="shared" si="73"/>
        <v>466</v>
      </c>
      <c r="J604" s="190">
        <v>0.02</v>
      </c>
      <c r="K604">
        <f t="shared" si="74"/>
        <v>496</v>
      </c>
      <c r="L604" s="62">
        <f t="shared" si="72"/>
        <v>547</v>
      </c>
      <c r="M604" s="287">
        <v>1.01</v>
      </c>
      <c r="N604" s="284">
        <f>VLOOKUP(3114,季財報!A:N,8,0)</f>
        <v>4</v>
      </c>
    </row>
    <row r="605" spans="1:14">
      <c r="A605" s="184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197">
        <v>0.03</v>
      </c>
      <c r="I605">
        <f t="shared" si="73"/>
        <v>466</v>
      </c>
      <c r="J605" s="190">
        <v>0.02</v>
      </c>
      <c r="K605">
        <f t="shared" si="74"/>
        <v>496</v>
      </c>
      <c r="L605" s="62">
        <f t="shared" si="72"/>
        <v>547</v>
      </c>
      <c r="M605" s="287">
        <v>1.01</v>
      </c>
      <c r="N605" s="284">
        <f>VLOOKUP(3211,季財報!A:N,8,0)</f>
        <v>2</v>
      </c>
    </row>
    <row r="606" spans="1:14">
      <c r="A606" s="184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197">
        <v>0.03</v>
      </c>
      <c r="I606">
        <f t="shared" si="73"/>
        <v>466</v>
      </c>
      <c r="J606" s="190">
        <v>0.02</v>
      </c>
      <c r="K606">
        <f t="shared" si="74"/>
        <v>496</v>
      </c>
      <c r="L606" s="62">
        <f t="shared" si="72"/>
        <v>547</v>
      </c>
      <c r="M606" s="287">
        <v>1.01</v>
      </c>
      <c r="N606" s="284">
        <f>VLOOKUP(3332,季財報!A:N,8,0)</f>
        <v>4</v>
      </c>
    </row>
    <row r="607" spans="1:14">
      <c r="A607" s="184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197">
        <v>0.03</v>
      </c>
      <c r="I607">
        <f t="shared" si="73"/>
        <v>466</v>
      </c>
      <c r="J607" s="190">
        <v>0.02</v>
      </c>
      <c r="K607">
        <f t="shared" si="74"/>
        <v>496</v>
      </c>
      <c r="L607" s="62">
        <f t="shared" si="72"/>
        <v>547</v>
      </c>
      <c r="M607" s="287">
        <v>1.01</v>
      </c>
      <c r="N607" s="284">
        <f>VLOOKUP(3527,季財報!A:N,8,0)</f>
        <v>1</v>
      </c>
    </row>
    <row r="608" spans="1:14">
      <c r="A608" s="184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197">
        <v>0.08</v>
      </c>
      <c r="I608">
        <f>RANK(0.08,H:H,0)</f>
        <v>80</v>
      </c>
      <c r="J608" s="190">
        <v>0</v>
      </c>
      <c r="K608">
        <f>RANK(0,J:J,0)</f>
        <v>945</v>
      </c>
      <c r="L608" s="62">
        <f>RANK(1.48,M:M,0)</f>
        <v>607</v>
      </c>
      <c r="M608" s="287">
        <v>1.01</v>
      </c>
      <c r="N608" s="284">
        <f>VLOOKUP(1456,季財報!A:N,8,0)</f>
        <v>3</v>
      </c>
    </row>
    <row r="609" spans="1:14">
      <c r="A609" s="184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197">
        <v>0.04</v>
      </c>
      <c r="I609">
        <f t="shared" ref="I609:I615" si="75">RANK(0.04,H:H,0)</f>
        <v>330</v>
      </c>
      <c r="J609" s="190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287">
        <v>1.01</v>
      </c>
      <c r="N609" s="284">
        <f>VLOOKUP(6148,季財報!A:N,8,0)</f>
        <v>3</v>
      </c>
    </row>
    <row r="610" spans="1:14">
      <c r="A610" s="184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197">
        <v>0.04</v>
      </c>
      <c r="I610">
        <f t="shared" si="75"/>
        <v>330</v>
      </c>
      <c r="J610" s="190">
        <v>0.01</v>
      </c>
      <c r="K610">
        <f t="shared" si="76"/>
        <v>708</v>
      </c>
      <c r="L610" s="62">
        <f t="shared" si="77"/>
        <v>608</v>
      </c>
      <c r="M610" s="287">
        <v>1.01</v>
      </c>
      <c r="N610" s="284">
        <f>VLOOKUP(6184,季財報!A:N,8,0)</f>
        <v>1</v>
      </c>
    </row>
    <row r="611" spans="1:14">
      <c r="A611" s="184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197">
        <v>0.04</v>
      </c>
      <c r="I611">
        <f t="shared" si="75"/>
        <v>330</v>
      </c>
      <c r="J611" s="190">
        <v>0.01</v>
      </c>
      <c r="K611">
        <f t="shared" si="76"/>
        <v>708</v>
      </c>
      <c r="L611" s="62">
        <f t="shared" si="77"/>
        <v>608</v>
      </c>
      <c r="M611" s="287">
        <v>1.01</v>
      </c>
      <c r="N611" s="284">
        <f>VLOOKUP(2207,季財報!A:N,8,0)</f>
        <v>2</v>
      </c>
    </row>
    <row r="612" spans="1:14">
      <c r="A612" s="184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197">
        <v>0.04</v>
      </c>
      <c r="I612">
        <f t="shared" si="75"/>
        <v>330</v>
      </c>
      <c r="J612" s="190">
        <v>0.01</v>
      </c>
      <c r="K612">
        <f t="shared" si="76"/>
        <v>708</v>
      </c>
      <c r="L612" s="62">
        <f t="shared" si="77"/>
        <v>608</v>
      </c>
      <c r="M612" s="287">
        <v>1.01</v>
      </c>
      <c r="N612" s="284">
        <f>VLOOKUP(2509,季財報!A:N,8,0)</f>
        <v>5</v>
      </c>
    </row>
    <row r="613" spans="1:14">
      <c r="A613" s="184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197">
        <v>0.04</v>
      </c>
      <c r="I613">
        <f t="shared" si="75"/>
        <v>330</v>
      </c>
      <c r="J613" s="190">
        <v>0.01</v>
      </c>
      <c r="K613">
        <f t="shared" si="76"/>
        <v>708</v>
      </c>
      <c r="L613" s="62">
        <f t="shared" si="77"/>
        <v>608</v>
      </c>
      <c r="M613" s="287">
        <v>1.01</v>
      </c>
      <c r="N613" s="284">
        <f>VLOOKUP(9941,季財報!A:N,8,0)</f>
        <v>0</v>
      </c>
    </row>
    <row r="614" spans="1:14">
      <c r="A614" s="184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197">
        <v>0.04</v>
      </c>
      <c r="I614">
        <f t="shared" si="75"/>
        <v>330</v>
      </c>
      <c r="J614" s="190">
        <v>0.01</v>
      </c>
      <c r="K614">
        <f t="shared" si="76"/>
        <v>708</v>
      </c>
      <c r="L614" s="62">
        <f t="shared" si="77"/>
        <v>608</v>
      </c>
      <c r="M614" s="287">
        <v>1.01</v>
      </c>
      <c r="N614" s="284">
        <f>VLOOKUP(1333,季財報!A:N,8,0)</f>
        <v>3</v>
      </c>
    </row>
    <row r="615" spans="1:14">
      <c r="A615" s="184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197">
        <v>0.04</v>
      </c>
      <c r="I615">
        <f t="shared" si="75"/>
        <v>330</v>
      </c>
      <c r="J615" s="190">
        <v>0.01</v>
      </c>
      <c r="K615">
        <f t="shared" si="76"/>
        <v>708</v>
      </c>
      <c r="L615" s="62">
        <f t="shared" si="77"/>
        <v>608</v>
      </c>
      <c r="M615" s="287">
        <v>1.01</v>
      </c>
      <c r="N615" s="284">
        <f>VLOOKUP(2352,季財報!A:N,8,0)</f>
        <v>1</v>
      </c>
    </row>
    <row r="616" spans="1:14">
      <c r="A616" s="184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197">
        <v>0.06</v>
      </c>
      <c r="I616">
        <f>RANK(0.06,H:H,0)</f>
        <v>155</v>
      </c>
      <c r="J616" s="190">
        <v>0</v>
      </c>
      <c r="K616">
        <f>RANK(0,J:J,0)</f>
        <v>945</v>
      </c>
      <c r="L616" s="62">
        <f>RANK(1.38,M:M,0)</f>
        <v>615</v>
      </c>
      <c r="M616" s="287">
        <v>1.01</v>
      </c>
      <c r="N616" s="284">
        <f>VLOOKUP(1229,季財報!A:N,8,0)</f>
        <v>1</v>
      </c>
    </row>
    <row r="617" spans="1:14">
      <c r="A617" s="184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197">
        <v>0.02</v>
      </c>
      <c r="I617">
        <f t="shared" ref="I617:I648" si="78">RANK(0.02,H:H,0)</f>
        <v>619</v>
      </c>
      <c r="J617" s="190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287">
        <v>1.01</v>
      </c>
      <c r="N617" s="284">
        <f>VLOOKUP(9939,季財報!A:N,8,0)</f>
        <v>1</v>
      </c>
    </row>
    <row r="618" spans="1:14">
      <c r="A618" s="184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197">
        <v>0.02</v>
      </c>
      <c r="I618">
        <f t="shared" si="78"/>
        <v>619</v>
      </c>
      <c r="J618" s="190">
        <v>0.02</v>
      </c>
      <c r="K618">
        <f t="shared" si="79"/>
        <v>496</v>
      </c>
      <c r="L618" s="62">
        <f t="shared" si="80"/>
        <v>616</v>
      </c>
      <c r="M618" s="287">
        <v>1.01</v>
      </c>
      <c r="N618" s="284">
        <f>VLOOKUP(9907,季財報!A:N,8,0)</f>
        <v>2</v>
      </c>
    </row>
    <row r="619" spans="1:14">
      <c r="A619" s="184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197">
        <v>0.02</v>
      </c>
      <c r="I619">
        <f t="shared" si="78"/>
        <v>619</v>
      </c>
      <c r="J619" s="190">
        <v>0.02</v>
      </c>
      <c r="K619">
        <f t="shared" si="79"/>
        <v>496</v>
      </c>
      <c r="L619" s="62">
        <f t="shared" si="80"/>
        <v>616</v>
      </c>
      <c r="M619" s="287">
        <v>1.01</v>
      </c>
      <c r="N619" s="284">
        <f>VLOOKUP(9927,季財報!A:N,8,0)</f>
        <v>3</v>
      </c>
    </row>
    <row r="620" spans="1:14">
      <c r="A620" s="184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197">
        <v>0.02</v>
      </c>
      <c r="I620">
        <f t="shared" si="78"/>
        <v>619</v>
      </c>
      <c r="J620" s="190">
        <v>0.02</v>
      </c>
      <c r="K620">
        <f t="shared" si="79"/>
        <v>496</v>
      </c>
      <c r="L620" s="62">
        <f t="shared" si="80"/>
        <v>616</v>
      </c>
      <c r="M620" s="287">
        <v>1.01</v>
      </c>
      <c r="N620" s="284">
        <f>VLOOKUP(9904,季財報!A:N,8,0)</f>
        <v>3</v>
      </c>
    </row>
    <row r="621" spans="1:14">
      <c r="A621" s="184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197">
        <v>0.02</v>
      </c>
      <c r="I621">
        <f t="shared" si="78"/>
        <v>619</v>
      </c>
      <c r="J621" s="190">
        <v>0.02</v>
      </c>
      <c r="K621">
        <f t="shared" si="79"/>
        <v>496</v>
      </c>
      <c r="L621" s="62">
        <f t="shared" si="80"/>
        <v>616</v>
      </c>
      <c r="M621" s="287">
        <v>1.01</v>
      </c>
      <c r="N621" s="284">
        <f>VLOOKUP(8411,季財報!A:N,8,0)</f>
        <v>5</v>
      </c>
    </row>
    <row r="622" spans="1:14">
      <c r="A622" s="184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197">
        <v>0.02</v>
      </c>
      <c r="I622">
        <f t="shared" si="78"/>
        <v>619</v>
      </c>
      <c r="J622" s="190">
        <v>0.02</v>
      </c>
      <c r="K622">
        <f t="shared" si="79"/>
        <v>496</v>
      </c>
      <c r="L622" s="62">
        <f t="shared" si="80"/>
        <v>616</v>
      </c>
      <c r="M622" s="287">
        <v>1.01</v>
      </c>
      <c r="N622" s="284">
        <f>VLOOKUP(8929,季財報!A:N,8,0)</f>
        <v>1</v>
      </c>
    </row>
    <row r="623" spans="1:14">
      <c r="A623" s="184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197">
        <v>0.02</v>
      </c>
      <c r="I623">
        <f t="shared" si="78"/>
        <v>619</v>
      </c>
      <c r="J623" s="190">
        <v>0.02</v>
      </c>
      <c r="K623">
        <f t="shared" si="79"/>
        <v>496</v>
      </c>
      <c r="L623" s="62">
        <f t="shared" si="80"/>
        <v>616</v>
      </c>
      <c r="M623" s="287">
        <v>1.01</v>
      </c>
      <c r="N623" s="284">
        <f>VLOOKUP(8234,季財報!A:N,8,0)</f>
        <v>2</v>
      </c>
    </row>
    <row r="624" spans="1:14">
      <c r="A624" s="184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197">
        <v>0.02</v>
      </c>
      <c r="I624">
        <f t="shared" si="78"/>
        <v>619</v>
      </c>
      <c r="J624" s="190">
        <v>0.02</v>
      </c>
      <c r="K624">
        <f t="shared" si="79"/>
        <v>496</v>
      </c>
      <c r="L624" s="62">
        <f t="shared" si="80"/>
        <v>616</v>
      </c>
      <c r="M624" s="287">
        <v>1.01</v>
      </c>
      <c r="N624" s="284">
        <f>VLOOKUP(8261,季財報!A:N,8,0)</f>
        <v>3</v>
      </c>
    </row>
    <row r="625" spans="1:14">
      <c r="A625" s="184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197">
        <v>0.02</v>
      </c>
      <c r="I625">
        <f t="shared" si="78"/>
        <v>619</v>
      </c>
      <c r="J625" s="190">
        <v>0.02</v>
      </c>
      <c r="K625">
        <f t="shared" si="79"/>
        <v>496</v>
      </c>
      <c r="L625" s="62">
        <f t="shared" si="80"/>
        <v>616</v>
      </c>
      <c r="M625" s="287">
        <v>1.01</v>
      </c>
      <c r="N625" s="284">
        <f>VLOOKUP(6426,季財報!A:N,8,0)</f>
        <v>3</v>
      </c>
    </row>
    <row r="626" spans="1:14">
      <c r="A626" s="184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197">
        <v>0.02</v>
      </c>
      <c r="I626">
        <f t="shared" si="78"/>
        <v>619</v>
      </c>
      <c r="J626" s="190">
        <v>0.02</v>
      </c>
      <c r="K626">
        <f t="shared" si="79"/>
        <v>496</v>
      </c>
      <c r="L626" s="62">
        <f t="shared" si="80"/>
        <v>616</v>
      </c>
      <c r="M626" s="287">
        <v>1.01</v>
      </c>
      <c r="N626" s="284">
        <f>VLOOKUP(8047,季財報!A:N,8,0)</f>
        <v>0</v>
      </c>
    </row>
    <row r="627" spans="1:14">
      <c r="A627" s="184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197">
        <v>0.02</v>
      </c>
      <c r="I627">
        <f t="shared" si="78"/>
        <v>619</v>
      </c>
      <c r="J627" s="190">
        <v>0.02</v>
      </c>
      <c r="K627">
        <f t="shared" si="79"/>
        <v>496</v>
      </c>
      <c r="L627" s="62">
        <f t="shared" si="80"/>
        <v>616</v>
      </c>
      <c r="M627" s="287">
        <v>1.01</v>
      </c>
      <c r="N627" s="284">
        <f>VLOOKUP(6174,季財報!A:N,8,0)</f>
        <v>4</v>
      </c>
    </row>
    <row r="628" spans="1:14">
      <c r="A628" s="184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197">
        <v>0.02</v>
      </c>
      <c r="I628">
        <f t="shared" si="78"/>
        <v>619</v>
      </c>
      <c r="J628" s="190">
        <v>0.02</v>
      </c>
      <c r="K628">
        <f t="shared" si="79"/>
        <v>496</v>
      </c>
      <c r="L628" s="62">
        <f t="shared" si="80"/>
        <v>616</v>
      </c>
      <c r="M628" s="287">
        <v>1.01</v>
      </c>
      <c r="N628" s="284">
        <f>VLOOKUP(6261,季財報!A:N,8,0)</f>
        <v>1</v>
      </c>
    </row>
    <row r="629" spans="1:14">
      <c r="A629" s="184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197">
        <v>0.02</v>
      </c>
      <c r="I629">
        <f t="shared" si="78"/>
        <v>619</v>
      </c>
      <c r="J629" s="190">
        <v>0.02</v>
      </c>
      <c r="K629">
        <f t="shared" si="79"/>
        <v>496</v>
      </c>
      <c r="L629" s="62">
        <f t="shared" si="80"/>
        <v>616</v>
      </c>
      <c r="M629" s="287">
        <v>1.01</v>
      </c>
      <c r="N629" s="284">
        <f>VLOOKUP(6282,季財報!A:N,8,0)</f>
        <v>3</v>
      </c>
    </row>
    <row r="630" spans="1:14">
      <c r="A630" s="184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197">
        <v>0.02</v>
      </c>
      <c r="I630">
        <f t="shared" si="78"/>
        <v>619</v>
      </c>
      <c r="J630" s="190">
        <v>0.02</v>
      </c>
      <c r="K630">
        <f t="shared" si="79"/>
        <v>496</v>
      </c>
      <c r="L630" s="62">
        <f t="shared" si="80"/>
        <v>616</v>
      </c>
      <c r="M630" s="287">
        <v>1.01</v>
      </c>
      <c r="N630" s="284">
        <f>VLOOKUP(6505,季財報!A:N,8,0)</f>
        <v>2</v>
      </c>
    </row>
    <row r="631" spans="1:14">
      <c r="A631" s="184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197">
        <v>0.02</v>
      </c>
      <c r="I631">
        <f t="shared" si="78"/>
        <v>619</v>
      </c>
      <c r="J631" s="190">
        <v>0.02</v>
      </c>
      <c r="K631">
        <f t="shared" si="79"/>
        <v>496</v>
      </c>
      <c r="L631" s="62">
        <f t="shared" si="80"/>
        <v>616</v>
      </c>
      <c r="M631" s="287">
        <v>1.01</v>
      </c>
      <c r="N631" s="284">
        <f>VLOOKUP(6508,季財報!A:N,8,0)</f>
        <v>1</v>
      </c>
    </row>
    <row r="632" spans="1:14">
      <c r="A632" s="184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197">
        <v>0.02</v>
      </c>
      <c r="I632">
        <f t="shared" si="78"/>
        <v>619</v>
      </c>
      <c r="J632" s="190">
        <v>0.02</v>
      </c>
      <c r="K632">
        <f t="shared" si="79"/>
        <v>496</v>
      </c>
      <c r="L632" s="62">
        <f t="shared" si="80"/>
        <v>616</v>
      </c>
      <c r="M632" s="287">
        <v>1.01</v>
      </c>
      <c r="N632" s="284">
        <f>VLOOKUP(8222,季財報!A:N,8,0)</f>
        <v>3</v>
      </c>
    </row>
    <row r="633" spans="1:14">
      <c r="A633" s="184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197">
        <v>0.02</v>
      </c>
      <c r="I633">
        <f t="shared" si="78"/>
        <v>619</v>
      </c>
      <c r="J633" s="190">
        <v>0.02</v>
      </c>
      <c r="K633">
        <f t="shared" si="79"/>
        <v>496</v>
      </c>
      <c r="L633" s="62">
        <f t="shared" si="80"/>
        <v>616</v>
      </c>
      <c r="M633" s="287">
        <v>1.01</v>
      </c>
      <c r="N633" s="284">
        <f>VLOOKUP(6127,季財報!A:N,8,0)</f>
        <v>1</v>
      </c>
    </row>
    <row r="634" spans="1:14">
      <c r="A634" s="184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197">
        <v>0.02</v>
      </c>
      <c r="I634">
        <f t="shared" si="78"/>
        <v>619</v>
      </c>
      <c r="J634" s="190">
        <v>0.02</v>
      </c>
      <c r="K634">
        <f t="shared" si="79"/>
        <v>496</v>
      </c>
      <c r="L634" s="62">
        <f t="shared" si="80"/>
        <v>616</v>
      </c>
      <c r="M634" s="287">
        <v>1.01</v>
      </c>
      <c r="N634" s="284">
        <f>VLOOKUP(6201,季財報!A:N,8,0)</f>
        <v>3</v>
      </c>
    </row>
    <row r="635" spans="1:14">
      <c r="A635" s="184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197">
        <v>0.02</v>
      </c>
      <c r="I635">
        <f t="shared" si="78"/>
        <v>619</v>
      </c>
      <c r="J635" s="190">
        <v>0.02</v>
      </c>
      <c r="K635">
        <f t="shared" si="79"/>
        <v>496</v>
      </c>
      <c r="L635" s="62">
        <f t="shared" si="80"/>
        <v>616</v>
      </c>
      <c r="M635" s="287">
        <v>1.01</v>
      </c>
      <c r="N635" s="284">
        <f>VLOOKUP(5102,季財報!A:N,8,0)</f>
        <v>1</v>
      </c>
    </row>
    <row r="636" spans="1:14">
      <c r="A636" s="184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197">
        <v>0.02</v>
      </c>
      <c r="I636">
        <f t="shared" si="78"/>
        <v>619</v>
      </c>
      <c r="J636" s="190">
        <v>0.02</v>
      </c>
      <c r="K636">
        <f t="shared" si="79"/>
        <v>496</v>
      </c>
      <c r="L636" s="62">
        <f t="shared" si="80"/>
        <v>616</v>
      </c>
      <c r="M636" s="287">
        <v>1.01</v>
      </c>
      <c r="N636" s="284">
        <f>VLOOKUP(5209,季財報!A:N,8,0)</f>
        <v>3</v>
      </c>
    </row>
    <row r="637" spans="1:14">
      <c r="A637" s="184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197">
        <v>0.02</v>
      </c>
      <c r="I637">
        <f t="shared" si="78"/>
        <v>619</v>
      </c>
      <c r="J637" s="190">
        <v>0.02</v>
      </c>
      <c r="K637">
        <f t="shared" si="79"/>
        <v>496</v>
      </c>
      <c r="L637" s="62">
        <f t="shared" si="80"/>
        <v>616</v>
      </c>
      <c r="M637" s="287">
        <v>1.01</v>
      </c>
      <c r="N637" s="284">
        <f>VLOOKUP(5457,季財報!A:N,8,0)</f>
        <v>0</v>
      </c>
    </row>
    <row r="638" spans="1:14">
      <c r="A638" s="184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197">
        <v>0.02</v>
      </c>
      <c r="I638">
        <f t="shared" si="78"/>
        <v>619</v>
      </c>
      <c r="J638" s="190">
        <v>0.02</v>
      </c>
      <c r="K638">
        <f t="shared" si="79"/>
        <v>496</v>
      </c>
      <c r="L638" s="62">
        <f t="shared" si="80"/>
        <v>616</v>
      </c>
      <c r="M638" s="287">
        <v>1.01</v>
      </c>
      <c r="N638" s="284">
        <f>VLOOKUP(5519,季財報!A:N,8,0)</f>
        <v>2</v>
      </c>
    </row>
    <row r="639" spans="1:14">
      <c r="A639" s="184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197">
        <v>0.02</v>
      </c>
      <c r="I639">
        <f t="shared" si="78"/>
        <v>619</v>
      </c>
      <c r="J639" s="190">
        <v>0.02</v>
      </c>
      <c r="K639">
        <f t="shared" si="79"/>
        <v>496</v>
      </c>
      <c r="L639" s="62">
        <f t="shared" si="80"/>
        <v>616</v>
      </c>
      <c r="M639" s="287">
        <v>1.01</v>
      </c>
      <c r="N639" s="284">
        <f>VLOOKUP(4429,季財報!A:N,8,0)</f>
        <v>3</v>
      </c>
    </row>
    <row r="640" spans="1:14">
      <c r="A640" s="184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197">
        <v>0.02</v>
      </c>
      <c r="I640">
        <f t="shared" si="78"/>
        <v>619</v>
      </c>
      <c r="J640" s="190">
        <v>0.02</v>
      </c>
      <c r="K640">
        <f t="shared" si="79"/>
        <v>496</v>
      </c>
      <c r="L640" s="62">
        <f t="shared" si="80"/>
        <v>616</v>
      </c>
      <c r="M640" s="287">
        <v>1.01</v>
      </c>
      <c r="N640" s="284">
        <f>VLOOKUP(4549,季財報!A:N,8,0)</f>
        <v>4</v>
      </c>
    </row>
    <row r="641" spans="1:14">
      <c r="A641" s="184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197">
        <v>0.02</v>
      </c>
      <c r="I641">
        <f t="shared" si="78"/>
        <v>619</v>
      </c>
      <c r="J641" s="190">
        <v>0.02</v>
      </c>
      <c r="K641">
        <f t="shared" si="79"/>
        <v>496</v>
      </c>
      <c r="L641" s="62">
        <f t="shared" si="80"/>
        <v>616</v>
      </c>
      <c r="M641" s="287">
        <v>1.01</v>
      </c>
      <c r="N641" s="284">
        <f>VLOOKUP(4909,季財報!A:N,8,0)</f>
        <v>3</v>
      </c>
    </row>
    <row r="642" spans="1:14">
      <c r="A642" s="184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197">
        <v>0.02</v>
      </c>
      <c r="I642">
        <f t="shared" si="78"/>
        <v>619</v>
      </c>
      <c r="J642" s="190">
        <v>0.02</v>
      </c>
      <c r="K642">
        <f t="shared" si="79"/>
        <v>496</v>
      </c>
      <c r="L642" s="62">
        <f t="shared" si="80"/>
        <v>616</v>
      </c>
      <c r="M642" s="287">
        <v>1.01</v>
      </c>
      <c r="N642" s="284">
        <f>VLOOKUP(1319,季財報!A:N,8,0)</f>
        <v>3</v>
      </c>
    </row>
    <row r="643" spans="1:14">
      <c r="A643" s="184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197">
        <v>0.02</v>
      </c>
      <c r="I643">
        <f t="shared" si="78"/>
        <v>619</v>
      </c>
      <c r="J643" s="190">
        <v>0.02</v>
      </c>
      <c r="K643">
        <f t="shared" si="79"/>
        <v>496</v>
      </c>
      <c r="L643" s="62">
        <f t="shared" si="80"/>
        <v>616</v>
      </c>
      <c r="M643" s="287">
        <v>1.01</v>
      </c>
      <c r="N643" s="284">
        <f>VLOOKUP(1324,季財報!A:N,8,0)</f>
        <v>2</v>
      </c>
    </row>
    <row r="644" spans="1:14">
      <c r="A644" s="184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197">
        <v>0.02</v>
      </c>
      <c r="I644">
        <f t="shared" si="78"/>
        <v>619</v>
      </c>
      <c r="J644" s="190">
        <v>0.02</v>
      </c>
      <c r="K644">
        <f t="shared" si="79"/>
        <v>496</v>
      </c>
      <c r="L644" s="62">
        <f t="shared" si="80"/>
        <v>616</v>
      </c>
      <c r="M644" s="287">
        <v>1.01</v>
      </c>
      <c r="N644" s="284">
        <f>VLOOKUP(1452,季財報!A:N,8,0)</f>
        <v>2</v>
      </c>
    </row>
    <row r="645" spans="1:14">
      <c r="A645" s="184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197">
        <v>0.02</v>
      </c>
      <c r="I645">
        <f t="shared" si="78"/>
        <v>619</v>
      </c>
      <c r="J645" s="190">
        <v>0.02</v>
      </c>
      <c r="K645">
        <f t="shared" si="79"/>
        <v>496</v>
      </c>
      <c r="L645" s="62">
        <f t="shared" si="80"/>
        <v>616</v>
      </c>
      <c r="M645" s="287">
        <v>1.01</v>
      </c>
      <c r="N645" s="284">
        <f>VLOOKUP(1470,季財報!A:N,8,0)</f>
        <v>2</v>
      </c>
    </row>
    <row r="646" spans="1:14">
      <c r="A646" s="184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197">
        <v>0.02</v>
      </c>
      <c r="I646">
        <f t="shared" si="78"/>
        <v>619</v>
      </c>
      <c r="J646" s="190">
        <v>0.02</v>
      </c>
      <c r="K646">
        <f t="shared" si="79"/>
        <v>496</v>
      </c>
      <c r="L646" s="62">
        <f t="shared" si="80"/>
        <v>616</v>
      </c>
      <c r="M646" s="287">
        <v>1.01</v>
      </c>
      <c r="N646" s="284">
        <f>VLOOKUP(1522,季財報!A:N,8,0)</f>
        <v>3</v>
      </c>
    </row>
    <row r="647" spans="1:14">
      <c r="A647" s="184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197">
        <v>0.02</v>
      </c>
      <c r="I647">
        <f t="shared" si="78"/>
        <v>619</v>
      </c>
      <c r="J647" s="190">
        <v>0.02</v>
      </c>
      <c r="K647">
        <f t="shared" si="79"/>
        <v>496</v>
      </c>
      <c r="L647" s="62">
        <f t="shared" si="80"/>
        <v>616</v>
      </c>
      <c r="M647" s="287">
        <v>1.01</v>
      </c>
      <c r="N647" s="284">
        <f>VLOOKUP(1524,季財報!A:N,8,0)</f>
        <v>5</v>
      </c>
    </row>
    <row r="648" spans="1:14">
      <c r="A648" s="184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197">
        <v>0.02</v>
      </c>
      <c r="I648">
        <f t="shared" si="78"/>
        <v>619</v>
      </c>
      <c r="J648" s="190">
        <v>0.02</v>
      </c>
      <c r="K648">
        <f t="shared" si="79"/>
        <v>496</v>
      </c>
      <c r="L648" s="62">
        <f t="shared" si="80"/>
        <v>616</v>
      </c>
      <c r="M648" s="287">
        <v>1.01</v>
      </c>
      <c r="N648" s="284">
        <f>VLOOKUP(1597,季財報!A:N,8,0)</f>
        <v>3</v>
      </c>
    </row>
    <row r="649" spans="1:14">
      <c r="A649" s="184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197">
        <v>0.02</v>
      </c>
      <c r="I649">
        <f t="shared" ref="I649:I680" si="81">RANK(0.02,H:H,0)</f>
        <v>619</v>
      </c>
      <c r="J649" s="190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287">
        <v>1.01</v>
      </c>
      <c r="N649" s="284">
        <f>VLOOKUP(1614,季財報!A:N,8,0)</f>
        <v>2</v>
      </c>
    </row>
    <row r="650" spans="1:14">
      <c r="A650" s="184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197">
        <v>0.02</v>
      </c>
      <c r="I650">
        <f t="shared" si="81"/>
        <v>619</v>
      </c>
      <c r="J650" s="190">
        <v>0.02</v>
      </c>
      <c r="K650">
        <f t="shared" si="82"/>
        <v>496</v>
      </c>
      <c r="L650" s="62">
        <f t="shared" si="83"/>
        <v>616</v>
      </c>
      <c r="M650" s="287">
        <v>1.01</v>
      </c>
      <c r="N650" s="284">
        <f>VLOOKUP(1711,季財報!A:N,8,0)</f>
        <v>3</v>
      </c>
    </row>
    <row r="651" spans="1:14">
      <c r="A651" s="184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197">
        <v>0.02</v>
      </c>
      <c r="I651">
        <f t="shared" si="81"/>
        <v>619</v>
      </c>
      <c r="J651" s="190">
        <v>0.02</v>
      </c>
      <c r="K651">
        <f t="shared" si="82"/>
        <v>496</v>
      </c>
      <c r="L651" s="62">
        <f t="shared" si="83"/>
        <v>616</v>
      </c>
      <c r="M651" s="287">
        <v>1.01</v>
      </c>
      <c r="N651" s="284">
        <f>VLOOKUP(1737,季財報!A:N,8,0)</f>
        <v>3</v>
      </c>
    </row>
    <row r="652" spans="1:14">
      <c r="A652" s="184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197">
        <v>0.02</v>
      </c>
      <c r="I652">
        <f t="shared" si="81"/>
        <v>619</v>
      </c>
      <c r="J652" s="190">
        <v>0.02</v>
      </c>
      <c r="K652">
        <f t="shared" si="82"/>
        <v>496</v>
      </c>
      <c r="L652" s="62">
        <f t="shared" si="83"/>
        <v>616</v>
      </c>
      <c r="M652" s="287">
        <v>1.01</v>
      </c>
      <c r="N652" s="284">
        <f>VLOOKUP(1786,季財報!A:N,8,0)</f>
        <v>5</v>
      </c>
    </row>
    <row r="653" spans="1:14">
      <c r="A653" s="184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197">
        <v>0.02</v>
      </c>
      <c r="I653">
        <f t="shared" si="81"/>
        <v>619</v>
      </c>
      <c r="J653" s="190">
        <v>0.02</v>
      </c>
      <c r="K653">
        <f t="shared" si="82"/>
        <v>496</v>
      </c>
      <c r="L653" s="62">
        <f t="shared" si="83"/>
        <v>616</v>
      </c>
      <c r="M653" s="287">
        <v>1.01</v>
      </c>
      <c r="N653" s="284">
        <f>VLOOKUP(1806,季財報!A:N,8,0)</f>
        <v>3</v>
      </c>
    </row>
    <row r="654" spans="1:14">
      <c r="A654" s="184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197">
        <v>0.02</v>
      </c>
      <c r="I654">
        <f t="shared" si="81"/>
        <v>619</v>
      </c>
      <c r="J654" s="190">
        <v>0.02</v>
      </c>
      <c r="K654">
        <f t="shared" si="82"/>
        <v>496</v>
      </c>
      <c r="L654" s="62">
        <f t="shared" si="83"/>
        <v>616</v>
      </c>
      <c r="M654" s="287">
        <v>1.01</v>
      </c>
      <c r="N654" s="284">
        <f>VLOOKUP(2034,季財報!A:N,8,0)</f>
        <v>2</v>
      </c>
    </row>
    <row r="655" spans="1:14">
      <c r="A655" s="184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197">
        <v>0.02</v>
      </c>
      <c r="I655">
        <f t="shared" si="81"/>
        <v>619</v>
      </c>
      <c r="J655" s="190">
        <v>0.02</v>
      </c>
      <c r="K655">
        <f t="shared" si="82"/>
        <v>496</v>
      </c>
      <c r="L655" s="62">
        <f t="shared" si="83"/>
        <v>616</v>
      </c>
      <c r="M655" s="287">
        <v>1.01</v>
      </c>
      <c r="N655" s="284">
        <f>VLOOKUP(2049,季財報!A:N,8,0)</f>
        <v>3</v>
      </c>
    </row>
    <row r="656" spans="1:14">
      <c r="A656" s="184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197">
        <v>0.02</v>
      </c>
      <c r="I656">
        <f t="shared" si="81"/>
        <v>619</v>
      </c>
      <c r="J656" s="190">
        <v>0.02</v>
      </c>
      <c r="K656">
        <f t="shared" si="82"/>
        <v>496</v>
      </c>
      <c r="L656" s="62">
        <f t="shared" si="83"/>
        <v>616</v>
      </c>
      <c r="M656" s="287">
        <v>1.01</v>
      </c>
      <c r="N656" s="284">
        <f>VLOOKUP(2101,季財報!A:N,8,0)</f>
        <v>2</v>
      </c>
    </row>
    <row r="657" spans="1:14">
      <c r="A657" s="184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197">
        <v>0.02</v>
      </c>
      <c r="I657">
        <f t="shared" si="81"/>
        <v>619</v>
      </c>
      <c r="J657" s="190">
        <v>0.02</v>
      </c>
      <c r="K657">
        <f t="shared" si="82"/>
        <v>496</v>
      </c>
      <c r="L657" s="62">
        <f t="shared" si="83"/>
        <v>616</v>
      </c>
      <c r="M657" s="287">
        <v>1.01</v>
      </c>
      <c r="N657" s="284">
        <f>VLOOKUP(2102,季財報!A:N,8,0)</f>
        <v>3</v>
      </c>
    </row>
    <row r="658" spans="1:14">
      <c r="A658" s="184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197">
        <v>0.02</v>
      </c>
      <c r="I658">
        <f t="shared" si="81"/>
        <v>619</v>
      </c>
      <c r="J658" s="190">
        <v>0.02</v>
      </c>
      <c r="K658">
        <f t="shared" si="82"/>
        <v>496</v>
      </c>
      <c r="L658" s="62">
        <f t="shared" si="83"/>
        <v>616</v>
      </c>
      <c r="M658" s="287">
        <v>1.01</v>
      </c>
      <c r="N658" s="284">
        <f>VLOOKUP(2340,季財報!A:N,8,0)</f>
        <v>3</v>
      </c>
    </row>
    <row r="659" spans="1:14">
      <c r="A659" s="184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197">
        <v>0.02</v>
      </c>
      <c r="I659">
        <f t="shared" si="81"/>
        <v>619</v>
      </c>
      <c r="J659" s="190">
        <v>0.02</v>
      </c>
      <c r="K659">
        <f t="shared" si="82"/>
        <v>496</v>
      </c>
      <c r="L659" s="62">
        <f t="shared" si="83"/>
        <v>616</v>
      </c>
      <c r="M659" s="287">
        <v>1.01</v>
      </c>
      <c r="N659" s="284">
        <f>VLOOKUP(2344,季財報!A:N,8,0)</f>
        <v>1</v>
      </c>
    </row>
    <row r="660" spans="1:14">
      <c r="A660" s="184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197">
        <v>0.02</v>
      </c>
      <c r="I660">
        <f t="shared" si="81"/>
        <v>619</v>
      </c>
      <c r="J660" s="190">
        <v>0.02</v>
      </c>
      <c r="K660">
        <f t="shared" si="82"/>
        <v>496</v>
      </c>
      <c r="L660" s="62">
        <f t="shared" si="83"/>
        <v>616</v>
      </c>
      <c r="M660" s="287">
        <v>1.01</v>
      </c>
      <c r="N660" s="284">
        <f>VLOOKUP(2367,季財報!A:N,8,0)</f>
        <v>3</v>
      </c>
    </row>
    <row r="661" spans="1:14">
      <c r="A661" s="184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197">
        <v>0.02</v>
      </c>
      <c r="I661">
        <f t="shared" si="81"/>
        <v>619</v>
      </c>
      <c r="J661" s="190">
        <v>0.02</v>
      </c>
      <c r="K661">
        <f t="shared" si="82"/>
        <v>496</v>
      </c>
      <c r="L661" s="62">
        <f t="shared" si="83"/>
        <v>616</v>
      </c>
      <c r="M661" s="287">
        <v>1.01</v>
      </c>
      <c r="N661" s="284">
        <f>VLOOKUP(2368,季財報!A:N,8,0)</f>
        <v>2</v>
      </c>
    </row>
    <row r="662" spans="1:14">
      <c r="A662" s="184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197">
        <v>0.02</v>
      </c>
      <c r="I662">
        <f t="shared" si="81"/>
        <v>619</v>
      </c>
      <c r="J662" s="190">
        <v>0.02</v>
      </c>
      <c r="K662">
        <f t="shared" si="82"/>
        <v>496</v>
      </c>
      <c r="L662" s="62">
        <f t="shared" si="83"/>
        <v>616</v>
      </c>
      <c r="M662" s="287">
        <v>1.01</v>
      </c>
      <c r="N662" s="284">
        <f>VLOOKUP(2393,季財報!A:N,8,0)</f>
        <v>2</v>
      </c>
    </row>
    <row r="663" spans="1:14">
      <c r="A663" s="184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197">
        <v>0.02</v>
      </c>
      <c r="I663">
        <f t="shared" si="81"/>
        <v>619</v>
      </c>
      <c r="J663" s="190">
        <v>0.02</v>
      </c>
      <c r="K663">
        <f t="shared" si="82"/>
        <v>496</v>
      </c>
      <c r="L663" s="62">
        <f t="shared" si="83"/>
        <v>616</v>
      </c>
      <c r="M663" s="287">
        <v>1.01</v>
      </c>
      <c r="N663" s="284">
        <f>VLOOKUP(2459,季財報!A:N,8,0)</f>
        <v>1</v>
      </c>
    </row>
    <row r="664" spans="1:14">
      <c r="A664" s="184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197">
        <v>0.02</v>
      </c>
      <c r="I664">
        <f t="shared" si="81"/>
        <v>619</v>
      </c>
      <c r="J664" s="190">
        <v>0.02</v>
      </c>
      <c r="K664">
        <f t="shared" si="82"/>
        <v>496</v>
      </c>
      <c r="L664" s="62">
        <f t="shared" si="83"/>
        <v>616</v>
      </c>
      <c r="M664" s="287">
        <v>1.01</v>
      </c>
      <c r="N664" s="284">
        <f>VLOOKUP(2485,季財報!A:N,8,0)</f>
        <v>5</v>
      </c>
    </row>
    <row r="665" spans="1:14">
      <c r="A665" s="184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197">
        <v>0.02</v>
      </c>
      <c r="I665">
        <f t="shared" si="81"/>
        <v>619</v>
      </c>
      <c r="J665" s="190">
        <v>0.02</v>
      </c>
      <c r="K665">
        <f t="shared" si="82"/>
        <v>496</v>
      </c>
      <c r="L665" s="62">
        <f t="shared" si="83"/>
        <v>616</v>
      </c>
      <c r="M665" s="287">
        <v>1.01</v>
      </c>
      <c r="N665" s="284">
        <f>VLOOKUP(2616,季財報!A:N,8,0)</f>
        <v>3</v>
      </c>
    </row>
    <row r="666" spans="1:14">
      <c r="A666" s="184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197">
        <v>0.02</v>
      </c>
      <c r="I666">
        <f t="shared" si="81"/>
        <v>619</v>
      </c>
      <c r="J666" s="190">
        <v>0.02</v>
      </c>
      <c r="K666">
        <f t="shared" si="82"/>
        <v>496</v>
      </c>
      <c r="L666" s="62">
        <f t="shared" si="83"/>
        <v>616</v>
      </c>
      <c r="M666" s="287">
        <v>1.01</v>
      </c>
      <c r="N666" s="284">
        <f>VLOOKUP(2702,季財報!A:N,8,0)</f>
        <v>5</v>
      </c>
    </row>
    <row r="667" spans="1:14">
      <c r="A667" s="184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197">
        <v>0.02</v>
      </c>
      <c r="I667">
        <f t="shared" si="81"/>
        <v>619</v>
      </c>
      <c r="J667" s="190">
        <v>0.02</v>
      </c>
      <c r="K667">
        <f t="shared" si="82"/>
        <v>496</v>
      </c>
      <c r="L667" s="62">
        <f t="shared" si="83"/>
        <v>616</v>
      </c>
      <c r="M667" s="287">
        <v>1.01</v>
      </c>
      <c r="N667" s="284">
        <f>VLOOKUP(3013,季財報!A:N,8,0)</f>
        <v>2</v>
      </c>
    </row>
    <row r="668" spans="1:14">
      <c r="A668" s="184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197">
        <v>0.02</v>
      </c>
      <c r="I668">
        <f t="shared" si="81"/>
        <v>619</v>
      </c>
      <c r="J668" s="190">
        <v>0.02</v>
      </c>
      <c r="K668">
        <f t="shared" si="82"/>
        <v>496</v>
      </c>
      <c r="L668" s="62">
        <f t="shared" si="83"/>
        <v>616</v>
      </c>
      <c r="M668" s="287">
        <v>1.01</v>
      </c>
      <c r="N668" s="284">
        <f>VLOOKUP(3019,季財報!A:N,8,0)</f>
        <v>4</v>
      </c>
    </row>
    <row r="669" spans="1:14">
      <c r="A669" s="184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197">
        <v>0.02</v>
      </c>
      <c r="I669">
        <f t="shared" si="81"/>
        <v>619</v>
      </c>
      <c r="J669" s="190">
        <v>0.02</v>
      </c>
      <c r="K669">
        <f t="shared" si="82"/>
        <v>496</v>
      </c>
      <c r="L669" s="62">
        <f t="shared" si="83"/>
        <v>616</v>
      </c>
      <c r="M669" s="287">
        <v>1.01</v>
      </c>
      <c r="N669" s="284">
        <f>VLOOKUP(3026,季財報!A:N,8,0)</f>
        <v>0</v>
      </c>
    </row>
    <row r="670" spans="1:14">
      <c r="A670" s="184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197">
        <v>0.02</v>
      </c>
      <c r="I670">
        <f t="shared" si="81"/>
        <v>619</v>
      </c>
      <c r="J670" s="190">
        <v>0.02</v>
      </c>
      <c r="K670">
        <f t="shared" si="82"/>
        <v>496</v>
      </c>
      <c r="L670" s="62">
        <f t="shared" si="83"/>
        <v>616</v>
      </c>
      <c r="M670" s="287">
        <v>1.01</v>
      </c>
      <c r="N670" s="284">
        <f>VLOOKUP(3038,季財報!A:N,8,0)</f>
        <v>3</v>
      </c>
    </row>
    <row r="671" spans="1:14">
      <c r="A671" s="184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197">
        <v>0.02</v>
      </c>
      <c r="I671">
        <f t="shared" si="81"/>
        <v>619</v>
      </c>
      <c r="J671" s="190">
        <v>0.02</v>
      </c>
      <c r="K671">
        <f t="shared" si="82"/>
        <v>496</v>
      </c>
      <c r="L671" s="62">
        <f t="shared" si="83"/>
        <v>616</v>
      </c>
      <c r="M671" s="287">
        <v>1.01</v>
      </c>
      <c r="N671" s="284">
        <f>VLOOKUP(3049,季財報!A:N,8,0)</f>
        <v>5</v>
      </c>
    </row>
    <row r="672" spans="1:14">
      <c r="A672" s="184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197">
        <v>0.02</v>
      </c>
      <c r="I672">
        <f t="shared" si="81"/>
        <v>619</v>
      </c>
      <c r="J672" s="190">
        <v>0.02</v>
      </c>
      <c r="K672">
        <f t="shared" si="82"/>
        <v>496</v>
      </c>
      <c r="L672" s="62">
        <f t="shared" si="83"/>
        <v>616</v>
      </c>
      <c r="M672" s="287">
        <v>0.97</v>
      </c>
      <c r="N672" s="284">
        <f>VLOOKUP(3059,季財報!A:N,8,0)</f>
        <v>3</v>
      </c>
    </row>
    <row r="673" spans="1:14">
      <c r="A673" s="184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197">
        <v>0.02</v>
      </c>
      <c r="I673">
        <f t="shared" si="81"/>
        <v>619</v>
      </c>
      <c r="J673" s="190">
        <v>0.02</v>
      </c>
      <c r="K673">
        <f t="shared" si="82"/>
        <v>496</v>
      </c>
      <c r="L673" s="62">
        <f t="shared" si="83"/>
        <v>616</v>
      </c>
      <c r="M673" s="287">
        <v>0.9</v>
      </c>
      <c r="N673" s="284">
        <f>VLOOKUP(3062,季財報!A:N,8,0)</f>
        <v>2</v>
      </c>
    </row>
    <row r="674" spans="1:14">
      <c r="A674" s="184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197">
        <v>0.02</v>
      </c>
      <c r="I674">
        <f t="shared" si="81"/>
        <v>619</v>
      </c>
      <c r="J674" s="190">
        <v>0.02</v>
      </c>
      <c r="K674">
        <f t="shared" si="82"/>
        <v>496</v>
      </c>
      <c r="L674" s="62">
        <f t="shared" si="83"/>
        <v>616</v>
      </c>
      <c r="M674" s="287">
        <v>0.9</v>
      </c>
      <c r="N674" s="284">
        <f>VLOOKUP(3221,季財報!A:N,8,0)</f>
        <v>4</v>
      </c>
    </row>
    <row r="675" spans="1:14">
      <c r="A675" s="184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197">
        <v>0.02</v>
      </c>
      <c r="I675">
        <f t="shared" si="81"/>
        <v>619</v>
      </c>
      <c r="J675" s="190">
        <v>0.02</v>
      </c>
      <c r="K675">
        <f t="shared" si="82"/>
        <v>496</v>
      </c>
      <c r="L675" s="62">
        <f t="shared" si="83"/>
        <v>616</v>
      </c>
      <c r="M675" s="287">
        <v>0.87</v>
      </c>
      <c r="N675" s="284">
        <f>VLOOKUP(3257,季財報!A:N,8,0)</f>
        <v>2</v>
      </c>
    </row>
    <row r="676" spans="1:14">
      <c r="A676" s="184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197">
        <v>0.02</v>
      </c>
      <c r="I676">
        <f t="shared" si="81"/>
        <v>619</v>
      </c>
      <c r="J676" s="190">
        <v>0.02</v>
      </c>
      <c r="K676">
        <f t="shared" si="82"/>
        <v>496</v>
      </c>
      <c r="L676" s="62">
        <f t="shared" si="83"/>
        <v>616</v>
      </c>
      <c r="M676" s="287">
        <v>0.87</v>
      </c>
      <c r="N676" s="284">
        <f>VLOOKUP(3323,季財報!A:N,8,0)</f>
        <v>4</v>
      </c>
    </row>
    <row r="677" spans="1:14">
      <c r="A677" s="184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197">
        <v>0.02</v>
      </c>
      <c r="I677">
        <f t="shared" si="81"/>
        <v>619</v>
      </c>
      <c r="J677" s="190">
        <v>0.02</v>
      </c>
      <c r="K677">
        <f t="shared" si="82"/>
        <v>496</v>
      </c>
      <c r="L677" s="62">
        <f t="shared" si="83"/>
        <v>616</v>
      </c>
      <c r="M677" s="287">
        <v>0.87</v>
      </c>
      <c r="N677" s="284">
        <f>VLOOKUP(3373,季財報!A:N,8,0)</f>
        <v>4</v>
      </c>
    </row>
    <row r="678" spans="1:14">
      <c r="A678" s="184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197">
        <v>0.02</v>
      </c>
      <c r="I678">
        <f t="shared" si="81"/>
        <v>619</v>
      </c>
      <c r="J678" s="190">
        <v>0.02</v>
      </c>
      <c r="K678">
        <f t="shared" si="82"/>
        <v>496</v>
      </c>
      <c r="L678" s="62">
        <f t="shared" si="83"/>
        <v>616</v>
      </c>
      <c r="M678" s="287">
        <v>0.87</v>
      </c>
      <c r="N678" s="284">
        <f>VLOOKUP(3481,季財報!A:N,8,0)</f>
        <v>1</v>
      </c>
    </row>
    <row r="679" spans="1:14">
      <c r="A679" s="184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197">
        <v>0.02</v>
      </c>
      <c r="I679">
        <f t="shared" si="81"/>
        <v>619</v>
      </c>
      <c r="J679" s="190">
        <v>0.02</v>
      </c>
      <c r="K679">
        <f t="shared" si="82"/>
        <v>496</v>
      </c>
      <c r="L679" s="62">
        <f t="shared" si="83"/>
        <v>616</v>
      </c>
      <c r="M679" s="287">
        <v>0.87</v>
      </c>
      <c r="N679" s="284">
        <f>VLOOKUP(3484,季財報!A:N,8,0)</f>
        <v>1</v>
      </c>
    </row>
    <row r="680" spans="1:14">
      <c r="A680" s="184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197">
        <v>0.02</v>
      </c>
      <c r="I680">
        <f t="shared" si="81"/>
        <v>619</v>
      </c>
      <c r="J680" s="190">
        <v>0.02</v>
      </c>
      <c r="K680">
        <f t="shared" si="82"/>
        <v>496</v>
      </c>
      <c r="L680" s="62">
        <f t="shared" si="83"/>
        <v>616</v>
      </c>
      <c r="M680" s="287">
        <v>0.87</v>
      </c>
      <c r="N680" s="284">
        <f>VLOOKUP(3489,季財報!A:N,8,0)</f>
        <v>3</v>
      </c>
    </row>
    <row r="681" spans="1:14">
      <c r="A681" s="184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197">
        <v>0.02</v>
      </c>
      <c r="I681">
        <f t="shared" ref="I681:I712" si="84">RANK(0.02,H:H,0)</f>
        <v>619</v>
      </c>
      <c r="J681" s="190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287">
        <v>0.87</v>
      </c>
      <c r="N681" s="284">
        <f>VLOOKUP(3515,季財報!A:N,8,0)</f>
        <v>1</v>
      </c>
    </row>
    <row r="682" spans="1:14">
      <c r="A682" s="184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197">
        <v>0.02</v>
      </c>
      <c r="I682">
        <f t="shared" si="84"/>
        <v>619</v>
      </c>
      <c r="J682" s="190">
        <v>0.02</v>
      </c>
      <c r="K682">
        <f t="shared" si="85"/>
        <v>496</v>
      </c>
      <c r="L682" s="62">
        <f t="shared" si="86"/>
        <v>616</v>
      </c>
      <c r="M682" s="287">
        <v>0.87</v>
      </c>
      <c r="N682" s="284">
        <f>VLOOKUP(3532,季財報!A:N,8,0)</f>
        <v>3</v>
      </c>
    </row>
    <row r="683" spans="1:14">
      <c r="A683" s="184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197">
        <v>0.02</v>
      </c>
      <c r="I683">
        <f t="shared" si="84"/>
        <v>619</v>
      </c>
      <c r="J683" s="190">
        <v>0.02</v>
      </c>
      <c r="K683">
        <f t="shared" si="85"/>
        <v>496</v>
      </c>
      <c r="L683" s="62">
        <f t="shared" si="86"/>
        <v>616</v>
      </c>
      <c r="M683" s="287">
        <v>0.87</v>
      </c>
      <c r="N683" s="284">
        <f>VLOOKUP(3551,季財報!A:N,8,0)</f>
        <v>1</v>
      </c>
    </row>
    <row r="684" spans="1:14">
      <c r="A684" s="184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197">
        <v>0.02</v>
      </c>
      <c r="I684">
        <f t="shared" si="84"/>
        <v>619</v>
      </c>
      <c r="J684" s="190">
        <v>0.02</v>
      </c>
      <c r="K684">
        <f t="shared" si="85"/>
        <v>496</v>
      </c>
      <c r="L684" s="62">
        <f t="shared" si="86"/>
        <v>616</v>
      </c>
      <c r="M684" s="287">
        <v>0.87</v>
      </c>
      <c r="N684" s="284">
        <f>VLOOKUP(3596,季財報!A:N,8,0)</f>
        <v>3</v>
      </c>
    </row>
    <row r="685" spans="1:14">
      <c r="A685" s="184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197">
        <v>0.02</v>
      </c>
      <c r="I685">
        <f t="shared" si="84"/>
        <v>619</v>
      </c>
      <c r="J685" s="190">
        <v>0.02</v>
      </c>
      <c r="K685">
        <f t="shared" si="85"/>
        <v>496</v>
      </c>
      <c r="L685" s="62">
        <f t="shared" si="86"/>
        <v>616</v>
      </c>
      <c r="M685" s="287">
        <v>0.87</v>
      </c>
      <c r="N685" s="284">
        <f>VLOOKUP(3598,季財報!A:N,8,0)</f>
        <v>2</v>
      </c>
    </row>
    <row r="686" spans="1:14">
      <c r="A686" s="184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197">
        <v>0.02</v>
      </c>
      <c r="I686">
        <f t="shared" si="84"/>
        <v>619</v>
      </c>
      <c r="J686" s="190">
        <v>0.02</v>
      </c>
      <c r="K686">
        <f t="shared" si="85"/>
        <v>496</v>
      </c>
      <c r="L686" s="62">
        <f t="shared" si="86"/>
        <v>616</v>
      </c>
      <c r="M686" s="287">
        <v>0.87</v>
      </c>
      <c r="N686" s="284">
        <f>VLOOKUP(3658,季財報!A:N,8,0)</f>
        <v>2</v>
      </c>
    </row>
    <row r="687" spans="1:14">
      <c r="A687" s="184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197">
        <v>0.02</v>
      </c>
      <c r="I687">
        <f t="shared" si="84"/>
        <v>619</v>
      </c>
      <c r="J687" s="190">
        <v>0.02</v>
      </c>
      <c r="K687">
        <f t="shared" si="85"/>
        <v>496</v>
      </c>
      <c r="L687" s="62">
        <f t="shared" si="86"/>
        <v>616</v>
      </c>
      <c r="M687" s="287">
        <v>0.87</v>
      </c>
      <c r="N687" s="284">
        <f>VLOOKUP(4130,季財報!A:N,8,0)</f>
        <v>3</v>
      </c>
    </row>
    <row r="688" spans="1:14">
      <c r="A688" s="184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197">
        <v>0.02</v>
      </c>
      <c r="I688">
        <f t="shared" si="84"/>
        <v>619</v>
      </c>
      <c r="J688" s="190">
        <v>0.02</v>
      </c>
      <c r="K688">
        <f t="shared" si="85"/>
        <v>496</v>
      </c>
      <c r="L688" s="62">
        <f t="shared" si="86"/>
        <v>616</v>
      </c>
      <c r="M688" s="287">
        <v>0.87</v>
      </c>
      <c r="N688" s="284">
        <f>VLOOKUP(8908,季財報!A:N,8,0)</f>
        <v>2</v>
      </c>
    </row>
    <row r="689" spans="1:14">
      <c r="A689" s="184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197">
        <v>0.02</v>
      </c>
      <c r="I689">
        <f t="shared" si="84"/>
        <v>619</v>
      </c>
      <c r="J689" s="190">
        <v>0.02</v>
      </c>
      <c r="K689">
        <f t="shared" si="85"/>
        <v>496</v>
      </c>
      <c r="L689" s="62">
        <f t="shared" si="86"/>
        <v>616</v>
      </c>
      <c r="M689" s="287">
        <v>0.87</v>
      </c>
      <c r="N689" s="284">
        <f>VLOOKUP(8150,季財報!A:N,8,0)</f>
        <v>2</v>
      </c>
    </row>
    <row r="690" spans="1:14">
      <c r="A690" s="184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197">
        <v>0.02</v>
      </c>
      <c r="I690">
        <f t="shared" si="84"/>
        <v>619</v>
      </c>
      <c r="J690" s="190">
        <v>0.02</v>
      </c>
      <c r="K690">
        <f t="shared" si="85"/>
        <v>496</v>
      </c>
      <c r="L690" s="62">
        <f t="shared" si="86"/>
        <v>616</v>
      </c>
      <c r="M690" s="287">
        <v>0.87</v>
      </c>
      <c r="N690" s="284">
        <f>VLOOKUP(8182,季財報!A:N,8,0)</f>
        <v>2</v>
      </c>
    </row>
    <row r="691" spans="1:14">
      <c r="A691" s="184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197">
        <v>0.02</v>
      </c>
      <c r="I691">
        <f t="shared" si="84"/>
        <v>619</v>
      </c>
      <c r="J691" s="190">
        <v>0.02</v>
      </c>
      <c r="K691">
        <f t="shared" si="85"/>
        <v>496</v>
      </c>
      <c r="L691" s="62">
        <f t="shared" si="86"/>
        <v>616</v>
      </c>
      <c r="M691" s="287">
        <v>0.87</v>
      </c>
      <c r="N691" s="284">
        <f>VLOOKUP(6290,季財報!A:N,8,0)</f>
        <v>1</v>
      </c>
    </row>
    <row r="692" spans="1:14">
      <c r="A692" s="184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197">
        <v>0.02</v>
      </c>
      <c r="I692">
        <f t="shared" si="84"/>
        <v>619</v>
      </c>
      <c r="J692" s="190">
        <v>0.02</v>
      </c>
      <c r="K692">
        <f t="shared" si="85"/>
        <v>496</v>
      </c>
      <c r="L692" s="62">
        <f t="shared" si="86"/>
        <v>616</v>
      </c>
      <c r="M692" s="287">
        <v>0.87</v>
      </c>
      <c r="N692" s="284">
        <f>VLOOKUP(6509,季財報!A:N,8,0)</f>
        <v>3</v>
      </c>
    </row>
    <row r="693" spans="1:14">
      <c r="A693" s="184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197">
        <v>0.02</v>
      </c>
      <c r="I693">
        <f t="shared" si="84"/>
        <v>619</v>
      </c>
      <c r="J693" s="190">
        <v>0.02</v>
      </c>
      <c r="K693">
        <f t="shared" si="85"/>
        <v>496</v>
      </c>
      <c r="L693" s="62">
        <f t="shared" si="86"/>
        <v>616</v>
      </c>
      <c r="M693" s="287">
        <v>0.79</v>
      </c>
      <c r="N693" s="284">
        <f>VLOOKUP(6138,季財報!A:N,8,0)</f>
        <v>3</v>
      </c>
    </row>
    <row r="694" spans="1:14">
      <c r="A694" s="184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197">
        <v>0.02</v>
      </c>
      <c r="I694">
        <f t="shared" si="84"/>
        <v>619</v>
      </c>
      <c r="J694" s="190">
        <v>0.02</v>
      </c>
      <c r="K694">
        <f t="shared" si="85"/>
        <v>496</v>
      </c>
      <c r="L694" s="62">
        <f t="shared" si="86"/>
        <v>616</v>
      </c>
      <c r="M694" s="287">
        <v>1.9</v>
      </c>
      <c r="N694" s="284">
        <f>VLOOKUP(5016,季財報!A:N,8,0)</f>
        <v>2</v>
      </c>
    </row>
    <row r="695" spans="1:14">
      <c r="A695" s="184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197">
        <v>0.02</v>
      </c>
      <c r="I695">
        <f t="shared" si="84"/>
        <v>619</v>
      </c>
      <c r="J695" s="190">
        <v>0.02</v>
      </c>
      <c r="K695">
        <f t="shared" si="85"/>
        <v>496</v>
      </c>
      <c r="L695" s="62">
        <f t="shared" si="86"/>
        <v>616</v>
      </c>
      <c r="M695" s="287">
        <v>0.79</v>
      </c>
      <c r="N695" s="284">
        <f>VLOOKUP(5263,季財報!A:N,8,0)</f>
        <v>3</v>
      </c>
    </row>
    <row r="696" spans="1:14">
      <c r="A696" s="184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197">
        <v>0.02</v>
      </c>
      <c r="I696">
        <f t="shared" si="84"/>
        <v>619</v>
      </c>
      <c r="J696" s="190">
        <v>0.02</v>
      </c>
      <c r="K696">
        <f t="shared" si="85"/>
        <v>496</v>
      </c>
      <c r="L696" s="62">
        <f t="shared" si="86"/>
        <v>616</v>
      </c>
      <c r="M696" s="287">
        <v>0.79</v>
      </c>
      <c r="N696" s="284">
        <f>VLOOKUP(5520,季財報!A:N,8,0)</f>
        <v>3</v>
      </c>
    </row>
    <row r="697" spans="1:14">
      <c r="A697" s="184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197">
        <v>0.02</v>
      </c>
      <c r="I697">
        <f t="shared" si="84"/>
        <v>619</v>
      </c>
      <c r="J697" s="190">
        <v>0.02</v>
      </c>
      <c r="K697">
        <f t="shared" si="85"/>
        <v>496</v>
      </c>
      <c r="L697" s="62">
        <f t="shared" si="86"/>
        <v>616</v>
      </c>
      <c r="M697" s="287">
        <v>0.79</v>
      </c>
      <c r="N697" s="284">
        <f>VLOOKUP(5538,季財報!A:N,8,0)</f>
        <v>1</v>
      </c>
    </row>
    <row r="698" spans="1:14">
      <c r="A698" s="184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197">
        <v>0.02</v>
      </c>
      <c r="I698">
        <f t="shared" si="84"/>
        <v>619</v>
      </c>
      <c r="J698" s="190">
        <v>0.02</v>
      </c>
      <c r="K698">
        <f t="shared" si="85"/>
        <v>496</v>
      </c>
      <c r="L698" s="62">
        <f t="shared" si="86"/>
        <v>616</v>
      </c>
      <c r="M698" s="287">
        <v>0.79</v>
      </c>
      <c r="N698" s="284">
        <f>VLOOKUP(4303,季財報!A:N,8,0)</f>
        <v>2</v>
      </c>
    </row>
    <row r="699" spans="1:14">
      <c r="A699" s="184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197">
        <v>0.02</v>
      </c>
      <c r="I699">
        <f t="shared" si="84"/>
        <v>619</v>
      </c>
      <c r="J699" s="190">
        <v>0.02</v>
      </c>
      <c r="K699">
        <f t="shared" si="85"/>
        <v>496</v>
      </c>
      <c r="L699" s="62">
        <f t="shared" si="86"/>
        <v>616</v>
      </c>
      <c r="M699" s="287">
        <v>14.2</v>
      </c>
      <c r="N699" s="284">
        <f>VLOOKUP(4510,季財報!A:N,8,0)</f>
        <v>2</v>
      </c>
    </row>
    <row r="700" spans="1:14">
      <c r="A700" s="184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197">
        <v>0.02</v>
      </c>
      <c r="I700">
        <f t="shared" si="84"/>
        <v>619</v>
      </c>
      <c r="J700" s="190">
        <v>0.02</v>
      </c>
      <c r="K700">
        <f t="shared" si="85"/>
        <v>496</v>
      </c>
      <c r="L700" s="62">
        <f t="shared" si="86"/>
        <v>616</v>
      </c>
      <c r="M700" s="287">
        <v>0.79</v>
      </c>
      <c r="N700" s="284">
        <f>VLOOKUP(4739,季財報!A:N,8,0)</f>
        <v>1</v>
      </c>
    </row>
    <row r="701" spans="1:14">
      <c r="A701" s="184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197">
        <v>0.02</v>
      </c>
      <c r="I701">
        <f t="shared" si="84"/>
        <v>619</v>
      </c>
      <c r="J701" s="190">
        <v>0.02</v>
      </c>
      <c r="K701">
        <f t="shared" si="85"/>
        <v>496</v>
      </c>
      <c r="L701" s="62">
        <f t="shared" si="86"/>
        <v>616</v>
      </c>
      <c r="M701" s="287">
        <v>1.01</v>
      </c>
      <c r="N701" s="284">
        <f>VLOOKUP(4747,季財報!A:N,8,0)</f>
        <v>2</v>
      </c>
    </row>
    <row r="702" spans="1:14">
      <c r="A702" s="184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197">
        <v>0.02</v>
      </c>
      <c r="I702">
        <f t="shared" si="84"/>
        <v>619</v>
      </c>
      <c r="J702" s="190">
        <v>0.02</v>
      </c>
      <c r="K702">
        <f t="shared" si="85"/>
        <v>496</v>
      </c>
      <c r="L702" s="62">
        <f t="shared" si="86"/>
        <v>616</v>
      </c>
      <c r="M702" s="287">
        <v>0.79</v>
      </c>
      <c r="N702" s="284">
        <f>VLOOKUP(5009,季財報!A:N,8,0)</f>
        <v>3</v>
      </c>
    </row>
    <row r="703" spans="1:14">
      <c r="A703" s="184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197">
        <v>0.02</v>
      </c>
      <c r="I703">
        <f t="shared" si="84"/>
        <v>619</v>
      </c>
      <c r="J703" s="190">
        <v>0.02</v>
      </c>
      <c r="K703">
        <f t="shared" si="85"/>
        <v>496</v>
      </c>
      <c r="L703" s="62">
        <f t="shared" si="86"/>
        <v>616</v>
      </c>
      <c r="M703" s="287">
        <v>0.79</v>
      </c>
      <c r="N703" s="284">
        <f>VLOOKUP(1727,季財報!A:N,8,0)</f>
        <v>2</v>
      </c>
    </row>
    <row r="704" spans="1:14">
      <c r="A704" s="184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197">
        <v>0.02</v>
      </c>
      <c r="I704">
        <f t="shared" si="84"/>
        <v>619</v>
      </c>
      <c r="J704" s="190">
        <v>0.02</v>
      </c>
      <c r="K704">
        <f t="shared" si="85"/>
        <v>496</v>
      </c>
      <c r="L704" s="62">
        <f t="shared" si="86"/>
        <v>616</v>
      </c>
      <c r="M704" s="287">
        <v>1.58</v>
      </c>
      <c r="N704" s="284">
        <f>VLOOKUP(2029,季財報!A:N,8,0)</f>
        <v>1</v>
      </c>
    </row>
    <row r="705" spans="1:14">
      <c r="A705" s="184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197">
        <v>0.02</v>
      </c>
      <c r="I705">
        <f t="shared" si="84"/>
        <v>619</v>
      </c>
      <c r="J705" s="190">
        <v>0.02</v>
      </c>
      <c r="K705">
        <f t="shared" si="85"/>
        <v>496</v>
      </c>
      <c r="L705" s="62">
        <f t="shared" si="86"/>
        <v>616</v>
      </c>
      <c r="M705" s="287">
        <v>0.79</v>
      </c>
      <c r="N705" s="284">
        <f>VLOOKUP(2461,季財報!A:N,8,0)</f>
        <v>3</v>
      </c>
    </row>
    <row r="706" spans="1:14">
      <c r="A706" s="184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197">
        <v>0.02</v>
      </c>
      <c r="I706">
        <f t="shared" si="84"/>
        <v>619</v>
      </c>
      <c r="J706" s="190">
        <v>0.02</v>
      </c>
      <c r="K706">
        <f t="shared" si="85"/>
        <v>496</v>
      </c>
      <c r="L706" s="62">
        <f t="shared" si="86"/>
        <v>616</v>
      </c>
      <c r="M706" s="287">
        <v>1.1399999999999999</v>
      </c>
      <c r="N706" s="284">
        <f>VLOOKUP(2484,季財報!A:N,8,0)</f>
        <v>4</v>
      </c>
    </row>
    <row r="707" spans="1:14">
      <c r="A707" s="184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197">
        <v>0.02</v>
      </c>
      <c r="I707">
        <f t="shared" si="84"/>
        <v>619</v>
      </c>
      <c r="J707" s="190">
        <v>0.02</v>
      </c>
      <c r="K707">
        <f t="shared" si="85"/>
        <v>496</v>
      </c>
      <c r="L707" s="62">
        <f t="shared" si="86"/>
        <v>616</v>
      </c>
      <c r="M707" s="287">
        <v>1.46</v>
      </c>
      <c r="N707" s="284">
        <f>VLOOKUP(2906,季財報!A:N,8,0)</f>
        <v>2</v>
      </c>
    </row>
    <row r="708" spans="1:14">
      <c r="A708" s="184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197">
        <v>0.02</v>
      </c>
      <c r="I708">
        <f t="shared" si="84"/>
        <v>619</v>
      </c>
      <c r="J708" s="190">
        <v>0.02</v>
      </c>
      <c r="K708">
        <f t="shared" si="85"/>
        <v>496</v>
      </c>
      <c r="L708" s="62">
        <f t="shared" si="86"/>
        <v>616</v>
      </c>
      <c r="M708" s="287">
        <v>1.01</v>
      </c>
      <c r="N708" s="284">
        <f>VLOOKUP(3021,季財報!A:N,8,0)</f>
        <v>3</v>
      </c>
    </row>
    <row r="709" spans="1:14">
      <c r="A709" s="184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197">
        <v>0.02</v>
      </c>
      <c r="I709">
        <f t="shared" si="84"/>
        <v>619</v>
      </c>
      <c r="J709" s="190">
        <v>0.02</v>
      </c>
      <c r="K709">
        <f t="shared" si="85"/>
        <v>496</v>
      </c>
      <c r="L709" s="62">
        <f t="shared" si="86"/>
        <v>616</v>
      </c>
      <c r="M709" s="287">
        <v>0.79</v>
      </c>
      <c r="N709" s="284">
        <f>VLOOKUP(3217,季財報!A:N,8,0)</f>
        <v>5</v>
      </c>
    </row>
    <row r="710" spans="1:14">
      <c r="A710" s="184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197">
        <v>0.02</v>
      </c>
      <c r="I710">
        <f t="shared" si="84"/>
        <v>619</v>
      </c>
      <c r="J710" s="190">
        <v>0.02</v>
      </c>
      <c r="K710">
        <f t="shared" si="85"/>
        <v>496</v>
      </c>
      <c r="L710" s="62">
        <f t="shared" si="86"/>
        <v>616</v>
      </c>
      <c r="M710" s="287">
        <v>0.79</v>
      </c>
      <c r="N710" s="284">
        <f>VLOOKUP(3402,季財報!A:N,8,0)</f>
        <v>1</v>
      </c>
    </row>
    <row r="711" spans="1:14">
      <c r="A711" s="184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197">
        <v>0.02</v>
      </c>
      <c r="I711">
        <f t="shared" si="84"/>
        <v>619</v>
      </c>
      <c r="J711" s="190">
        <v>0.02</v>
      </c>
      <c r="K711">
        <f t="shared" si="85"/>
        <v>496</v>
      </c>
      <c r="L711" s="62">
        <f t="shared" si="86"/>
        <v>616</v>
      </c>
      <c r="M711" s="287">
        <v>0.79</v>
      </c>
      <c r="N711" s="284">
        <f>VLOOKUP(3455,季財報!A:N,8,0)</f>
        <v>2</v>
      </c>
    </row>
    <row r="712" spans="1:14">
      <c r="A712" s="184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197">
        <v>0.02</v>
      </c>
      <c r="I712">
        <f t="shared" si="84"/>
        <v>619</v>
      </c>
      <c r="J712" s="190">
        <v>0.02</v>
      </c>
      <c r="K712">
        <f t="shared" si="85"/>
        <v>496</v>
      </c>
      <c r="L712" s="62">
        <f t="shared" si="86"/>
        <v>616</v>
      </c>
      <c r="M712" s="287">
        <v>0.79</v>
      </c>
      <c r="N712" s="284">
        <f>VLOOKUP(3499,季財報!A:N,8,0)</f>
        <v>5</v>
      </c>
    </row>
    <row r="713" spans="1:14">
      <c r="A713" s="184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197">
        <v>0.02</v>
      </c>
      <c r="I713">
        <f t="shared" ref="I713:I718" si="87">RANK(0.02,H:H,0)</f>
        <v>619</v>
      </c>
      <c r="J713" s="190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287">
        <v>0.79</v>
      </c>
      <c r="N713" s="284">
        <f>VLOOKUP(3514,季財報!A:N,8,0)</f>
        <v>3</v>
      </c>
    </row>
    <row r="714" spans="1:14">
      <c r="A714" s="184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197">
        <v>0.02</v>
      </c>
      <c r="I714">
        <f t="shared" si="87"/>
        <v>619</v>
      </c>
      <c r="J714" s="190">
        <v>0.02</v>
      </c>
      <c r="K714">
        <f t="shared" si="88"/>
        <v>496</v>
      </c>
      <c r="L714" s="62">
        <f t="shared" si="89"/>
        <v>616</v>
      </c>
      <c r="M714" s="287">
        <v>0.79</v>
      </c>
      <c r="N714" s="284">
        <f>VLOOKUP(3526,季財報!A:N,8,0)</f>
        <v>4</v>
      </c>
    </row>
    <row r="715" spans="1:14">
      <c r="A715" s="184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197">
        <v>0.02</v>
      </c>
      <c r="I715">
        <f t="shared" si="87"/>
        <v>619</v>
      </c>
      <c r="J715" s="190">
        <v>0.02</v>
      </c>
      <c r="K715">
        <f t="shared" si="88"/>
        <v>496</v>
      </c>
      <c r="L715" s="62">
        <f t="shared" si="89"/>
        <v>616</v>
      </c>
      <c r="M715" s="287">
        <v>0.79</v>
      </c>
      <c r="N715" s="284">
        <f>VLOOKUP(3537,季財報!A:N,8,0)</f>
        <v>2</v>
      </c>
    </row>
    <row r="716" spans="1:14">
      <c r="A716" s="184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197">
        <v>0.02</v>
      </c>
      <c r="I716">
        <f t="shared" si="87"/>
        <v>619</v>
      </c>
      <c r="J716" s="190">
        <v>0.02</v>
      </c>
      <c r="K716">
        <f t="shared" si="88"/>
        <v>496</v>
      </c>
      <c r="L716" s="62">
        <f t="shared" si="89"/>
        <v>616</v>
      </c>
      <c r="M716" s="287">
        <v>1.36</v>
      </c>
      <c r="N716" s="284">
        <f>VLOOKUP(3588,季財報!A:N,8,0)</f>
        <v>3</v>
      </c>
    </row>
    <row r="717" spans="1:14">
      <c r="A717" s="184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197">
        <v>0.02</v>
      </c>
      <c r="I717">
        <f t="shared" si="87"/>
        <v>619</v>
      </c>
      <c r="J717" s="190">
        <v>0.02</v>
      </c>
      <c r="K717">
        <f t="shared" si="88"/>
        <v>496</v>
      </c>
      <c r="L717" s="62">
        <f t="shared" si="89"/>
        <v>616</v>
      </c>
      <c r="M717" s="287">
        <v>0.79</v>
      </c>
      <c r="N717" s="284">
        <f>VLOOKUP(4111,季財報!A:N,8,0)</f>
        <v>3</v>
      </c>
    </row>
    <row r="718" spans="1:14">
      <c r="A718" s="184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197">
        <v>0.02</v>
      </c>
      <c r="I718">
        <f t="shared" si="87"/>
        <v>619</v>
      </c>
      <c r="J718" s="190">
        <v>0.02</v>
      </c>
      <c r="K718">
        <f t="shared" si="88"/>
        <v>496</v>
      </c>
      <c r="L718" s="62">
        <f t="shared" si="89"/>
        <v>616</v>
      </c>
      <c r="M718" s="287">
        <v>2.11</v>
      </c>
      <c r="N718" s="284">
        <f>VLOOKUP(4120,季財報!A:N,8,0)</f>
        <v>4</v>
      </c>
    </row>
    <row r="719" spans="1:14">
      <c r="A719" s="184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197">
        <v>0.03</v>
      </c>
      <c r="I719">
        <f t="shared" ref="I719:I728" si="90">RANK(0.03,H:H,0)</f>
        <v>466</v>
      </c>
      <c r="J719" s="190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287">
        <v>0.79</v>
      </c>
      <c r="N719" s="284">
        <f>VLOOKUP(2227,季財報!A:N,8,0)</f>
        <v>0</v>
      </c>
    </row>
    <row r="720" spans="1:14">
      <c r="A720" s="184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197">
        <v>0.03</v>
      </c>
      <c r="I720">
        <f t="shared" si="90"/>
        <v>466</v>
      </c>
      <c r="J720" s="190">
        <v>0.01</v>
      </c>
      <c r="K720">
        <f t="shared" si="91"/>
        <v>708</v>
      </c>
      <c r="L720" s="62">
        <f t="shared" si="92"/>
        <v>718</v>
      </c>
      <c r="M720" s="287">
        <v>0.79</v>
      </c>
      <c r="N720" s="284">
        <f>VLOOKUP(2530,季財報!A:N,8,0)</f>
        <v>4</v>
      </c>
    </row>
    <row r="721" spans="1:14">
      <c r="A721" s="184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197">
        <v>0.03</v>
      </c>
      <c r="I721">
        <f t="shared" si="90"/>
        <v>466</v>
      </c>
      <c r="J721" s="190">
        <v>0.01</v>
      </c>
      <c r="K721">
        <f t="shared" si="91"/>
        <v>708</v>
      </c>
      <c r="L721" s="62">
        <f t="shared" si="92"/>
        <v>718</v>
      </c>
      <c r="M721" s="287">
        <v>0.79</v>
      </c>
      <c r="N721" s="284">
        <f>VLOOKUP(2701,季財報!A:N,8,0)</f>
        <v>6</v>
      </c>
    </row>
    <row r="722" spans="1:14">
      <c r="A722" s="184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197">
        <v>0.03</v>
      </c>
      <c r="I722">
        <f t="shared" si="90"/>
        <v>466</v>
      </c>
      <c r="J722" s="190">
        <v>0.01</v>
      </c>
      <c r="K722">
        <f t="shared" si="91"/>
        <v>708</v>
      </c>
      <c r="L722" s="62">
        <f t="shared" si="92"/>
        <v>718</v>
      </c>
      <c r="M722" s="287">
        <v>1.29</v>
      </c>
      <c r="N722" s="284">
        <f>VLOOKUP(8932,季財報!A:N,8,0)</f>
        <v>2</v>
      </c>
    </row>
    <row r="723" spans="1:14">
      <c r="A723" s="184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197">
        <v>0.03</v>
      </c>
      <c r="I723">
        <f t="shared" si="90"/>
        <v>466</v>
      </c>
      <c r="J723" s="190">
        <v>0.01</v>
      </c>
      <c r="K723">
        <f t="shared" si="91"/>
        <v>708</v>
      </c>
      <c r="L723" s="62">
        <f t="shared" si="92"/>
        <v>718</v>
      </c>
      <c r="M723" s="287">
        <v>1.84</v>
      </c>
      <c r="N723" s="284">
        <f>VLOOKUP(8069,季財報!A:N,8,0)</f>
        <v>3</v>
      </c>
    </row>
    <row r="724" spans="1:14">
      <c r="A724" s="184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197">
        <v>0.03</v>
      </c>
      <c r="I724">
        <f t="shared" si="90"/>
        <v>466</v>
      </c>
      <c r="J724" s="190">
        <v>0.01</v>
      </c>
      <c r="K724">
        <f t="shared" si="91"/>
        <v>708</v>
      </c>
      <c r="L724" s="62">
        <f t="shared" si="92"/>
        <v>718</v>
      </c>
      <c r="M724" s="287">
        <v>0.79</v>
      </c>
      <c r="N724" s="284">
        <f>VLOOKUP(8096,季財報!A:N,8,0)</f>
        <v>3</v>
      </c>
    </row>
    <row r="725" spans="1:14">
      <c r="A725" s="184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197">
        <v>0.03</v>
      </c>
      <c r="I725">
        <f t="shared" si="90"/>
        <v>466</v>
      </c>
      <c r="J725" s="190">
        <v>0.01</v>
      </c>
      <c r="K725">
        <f t="shared" si="91"/>
        <v>708</v>
      </c>
      <c r="L725" s="62">
        <f t="shared" si="92"/>
        <v>718</v>
      </c>
      <c r="M725" s="287">
        <v>0.79</v>
      </c>
      <c r="N725" s="284">
        <f>VLOOKUP(5907,季財報!A:N,8,0)</f>
        <v>0</v>
      </c>
    </row>
    <row r="726" spans="1:14">
      <c r="A726" s="184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197">
        <v>0.03</v>
      </c>
      <c r="I726">
        <f t="shared" si="90"/>
        <v>466</v>
      </c>
      <c r="J726" s="190">
        <v>0.01</v>
      </c>
      <c r="K726">
        <f t="shared" si="91"/>
        <v>708</v>
      </c>
      <c r="L726" s="62">
        <f t="shared" si="92"/>
        <v>718</v>
      </c>
      <c r="M726" s="287">
        <v>0.79</v>
      </c>
      <c r="N726" s="284">
        <f>VLOOKUP(5410,季財報!A:N,8,0)</f>
        <v>1</v>
      </c>
    </row>
    <row r="727" spans="1:14">
      <c r="A727" s="184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197">
        <v>0.03</v>
      </c>
      <c r="I727">
        <f t="shared" si="90"/>
        <v>466</v>
      </c>
      <c r="J727" s="190">
        <v>0.01</v>
      </c>
      <c r="K727">
        <f t="shared" si="91"/>
        <v>708</v>
      </c>
      <c r="L727" s="62">
        <f t="shared" si="92"/>
        <v>718</v>
      </c>
      <c r="M727" s="287">
        <v>0.79</v>
      </c>
      <c r="N727" s="284">
        <f>VLOOKUP(1402,季財報!A:N,8,0)</f>
        <v>1</v>
      </c>
    </row>
    <row r="728" spans="1:14">
      <c r="A728" s="184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197">
        <v>0.03</v>
      </c>
      <c r="I728">
        <f t="shared" si="90"/>
        <v>466</v>
      </c>
      <c r="J728" s="190">
        <v>0.01</v>
      </c>
      <c r="K728">
        <f t="shared" si="91"/>
        <v>708</v>
      </c>
      <c r="L728" s="62">
        <f t="shared" si="92"/>
        <v>718</v>
      </c>
      <c r="M728" s="287">
        <v>0.87</v>
      </c>
      <c r="N728" s="284">
        <f>VLOOKUP(3028,季財報!A:N,8,0)</f>
        <v>1</v>
      </c>
    </row>
    <row r="729" spans="1:14">
      <c r="A729" s="184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197">
        <v>0.01</v>
      </c>
      <c r="I729">
        <f t="shared" ref="I729:I737" si="93">RANK(0.01,H:H,0)</f>
        <v>796</v>
      </c>
      <c r="J729" s="190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287">
        <v>0.79</v>
      </c>
      <c r="N729" s="284">
        <f>VLOOKUP(5604,季財報!A:N,8,0)</f>
        <v>1</v>
      </c>
    </row>
    <row r="730" spans="1:14">
      <c r="A730" s="184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197">
        <v>0.01</v>
      </c>
      <c r="I730">
        <f t="shared" si="93"/>
        <v>796</v>
      </c>
      <c r="J730" s="190">
        <v>0.02</v>
      </c>
      <c r="K730">
        <f t="shared" si="94"/>
        <v>496</v>
      </c>
      <c r="L730" s="62">
        <f t="shared" si="95"/>
        <v>728</v>
      </c>
      <c r="M730" s="287">
        <v>1.01</v>
      </c>
      <c r="N730" s="284">
        <f>VLOOKUP(4541,季財報!A:N,8,0)</f>
        <v>2</v>
      </c>
    </row>
    <row r="731" spans="1:14">
      <c r="A731" s="184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197">
        <v>0.01</v>
      </c>
      <c r="I731">
        <f t="shared" si="93"/>
        <v>796</v>
      </c>
      <c r="J731" s="190">
        <v>0.02</v>
      </c>
      <c r="K731">
        <f t="shared" si="94"/>
        <v>496</v>
      </c>
      <c r="L731" s="62">
        <f t="shared" si="95"/>
        <v>728</v>
      </c>
      <c r="M731" s="287">
        <v>3.37</v>
      </c>
      <c r="N731" s="284">
        <f>VLOOKUP(2637,季財報!A:N,8,0)</f>
        <v>6</v>
      </c>
    </row>
    <row r="732" spans="1:14">
      <c r="A732" s="184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197">
        <v>0.01</v>
      </c>
      <c r="I732">
        <f t="shared" si="93"/>
        <v>796</v>
      </c>
      <c r="J732" s="190">
        <v>0.02</v>
      </c>
      <c r="K732">
        <f t="shared" si="94"/>
        <v>496</v>
      </c>
      <c r="L732" s="62">
        <f t="shared" si="95"/>
        <v>728</v>
      </c>
      <c r="M732" s="287">
        <v>3.37</v>
      </c>
      <c r="N732" s="284">
        <f>VLOOKUP(8423,季財報!A:N,8,0)</f>
        <v>3</v>
      </c>
    </row>
    <row r="733" spans="1:14">
      <c r="A733" s="184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197">
        <v>0.01</v>
      </c>
      <c r="I733">
        <f t="shared" si="93"/>
        <v>796</v>
      </c>
      <c r="J733" s="190">
        <v>0.02</v>
      </c>
      <c r="K733">
        <f t="shared" si="94"/>
        <v>496</v>
      </c>
      <c r="L733" s="62">
        <f t="shared" si="95"/>
        <v>728</v>
      </c>
      <c r="M733" s="287">
        <v>0.79</v>
      </c>
      <c r="N733" s="284">
        <f>VLOOKUP(8147,季財報!A:N,8,0)</f>
        <v>2</v>
      </c>
    </row>
    <row r="734" spans="1:14">
      <c r="A734" s="184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197">
        <v>0.01</v>
      </c>
      <c r="I734">
        <f t="shared" si="93"/>
        <v>796</v>
      </c>
      <c r="J734" s="190">
        <v>0.02</v>
      </c>
      <c r="K734">
        <f t="shared" si="94"/>
        <v>496</v>
      </c>
      <c r="L734" s="62">
        <f t="shared" si="95"/>
        <v>728</v>
      </c>
      <c r="M734" s="287">
        <v>0.79</v>
      </c>
      <c r="N734" s="284">
        <f>VLOOKUP(8354,季財報!A:N,8,0)</f>
        <v>3</v>
      </c>
    </row>
    <row r="735" spans="1:14">
      <c r="A735" s="184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197">
        <v>0.01</v>
      </c>
      <c r="I735">
        <f t="shared" si="93"/>
        <v>796</v>
      </c>
      <c r="J735" s="190">
        <v>0.02</v>
      </c>
      <c r="K735">
        <f t="shared" si="94"/>
        <v>496</v>
      </c>
      <c r="L735" s="62">
        <f t="shared" si="95"/>
        <v>728</v>
      </c>
      <c r="M735" s="287">
        <v>0.87</v>
      </c>
      <c r="N735" s="284">
        <f>VLOOKUP(5364,季財報!A:N,8,0)</f>
        <v>3</v>
      </c>
    </row>
    <row r="736" spans="1:14">
      <c r="A736" s="184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197">
        <v>0.01</v>
      </c>
      <c r="I736">
        <f t="shared" si="93"/>
        <v>796</v>
      </c>
      <c r="J736" s="190">
        <v>0.02</v>
      </c>
      <c r="K736">
        <f t="shared" si="94"/>
        <v>496</v>
      </c>
      <c r="L736" s="62">
        <f t="shared" si="95"/>
        <v>728</v>
      </c>
      <c r="M736" s="287">
        <v>1.01</v>
      </c>
      <c r="N736" s="284">
        <f>VLOOKUP(5460,季財報!A:N,8,0)</f>
        <v>1</v>
      </c>
    </row>
    <row r="737" spans="1:14">
      <c r="A737" s="184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197">
        <v>0.01</v>
      </c>
      <c r="I737">
        <f t="shared" si="93"/>
        <v>796</v>
      </c>
      <c r="J737" s="190">
        <v>0.02</v>
      </c>
      <c r="K737">
        <f t="shared" si="94"/>
        <v>496</v>
      </c>
      <c r="L737" s="62">
        <f t="shared" si="95"/>
        <v>728</v>
      </c>
      <c r="M737" s="287">
        <v>0.79</v>
      </c>
      <c r="N737" s="284">
        <f>VLOOKUP(1815,季財報!A:N,8,0)</f>
        <v>3</v>
      </c>
    </row>
    <row r="738" spans="1:14">
      <c r="A738" s="184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197">
        <v>0.02</v>
      </c>
      <c r="I738">
        <f t="shared" ref="I738:I769" si="96">RANK(0.02,H:H,0)</f>
        <v>619</v>
      </c>
      <c r="J738" s="190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287">
        <v>12.66</v>
      </c>
      <c r="N738" s="284">
        <f>VLOOKUP(3324,季財報!A:N,8,0)</f>
        <v>4</v>
      </c>
    </row>
    <row r="739" spans="1:14">
      <c r="A739" s="184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197">
        <v>0.02</v>
      </c>
      <c r="I739">
        <f t="shared" si="96"/>
        <v>619</v>
      </c>
      <c r="J739" s="190">
        <v>0.01</v>
      </c>
      <c r="K739">
        <f t="shared" si="97"/>
        <v>708</v>
      </c>
      <c r="L739" s="62">
        <f t="shared" si="98"/>
        <v>737</v>
      </c>
      <c r="M739" s="287">
        <v>1.9</v>
      </c>
      <c r="N739" s="284">
        <f>VLOOKUP(9934,季財報!A:N,8,0)</f>
        <v>3</v>
      </c>
    </row>
    <row r="740" spans="1:14">
      <c r="A740" s="184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197">
        <v>0.02</v>
      </c>
      <c r="I740">
        <f t="shared" si="96"/>
        <v>619</v>
      </c>
      <c r="J740" s="190">
        <v>0.01</v>
      </c>
      <c r="K740">
        <f t="shared" si="97"/>
        <v>708</v>
      </c>
      <c r="L740" s="62">
        <f t="shared" si="98"/>
        <v>737</v>
      </c>
      <c r="M740" s="287">
        <v>0.79</v>
      </c>
      <c r="N740" s="284">
        <f>VLOOKUP(9937,季財報!A:N,8,0)</f>
        <v>3</v>
      </c>
    </row>
    <row r="741" spans="1:14">
      <c r="A741" s="184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197">
        <v>0.02</v>
      </c>
      <c r="I741">
        <f t="shared" si="96"/>
        <v>619</v>
      </c>
      <c r="J741" s="190">
        <v>0.01</v>
      </c>
      <c r="K741">
        <f t="shared" si="97"/>
        <v>708</v>
      </c>
      <c r="L741" s="62">
        <f t="shared" si="98"/>
        <v>737</v>
      </c>
      <c r="M741" s="287">
        <v>1.9</v>
      </c>
      <c r="N741" s="284">
        <f>VLOOKUP(6443,季財報!A:N,8,0)</f>
        <v>1</v>
      </c>
    </row>
    <row r="742" spans="1:14">
      <c r="A742" s="184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197">
        <v>0.02</v>
      </c>
      <c r="I742">
        <f t="shared" si="96"/>
        <v>619</v>
      </c>
      <c r="J742" s="190">
        <v>0.01</v>
      </c>
      <c r="K742">
        <f t="shared" si="97"/>
        <v>708</v>
      </c>
      <c r="L742" s="62">
        <f t="shared" si="98"/>
        <v>737</v>
      </c>
      <c r="M742" s="287">
        <v>1.18</v>
      </c>
      <c r="N742" s="284">
        <f>VLOOKUP(6108,季財報!A:N,8,0)</f>
        <v>1</v>
      </c>
    </row>
    <row r="743" spans="1:14">
      <c r="A743" s="184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197">
        <v>0.02</v>
      </c>
      <c r="I743">
        <f t="shared" si="96"/>
        <v>619</v>
      </c>
      <c r="J743" s="190">
        <v>0.01</v>
      </c>
      <c r="K743">
        <f t="shared" si="97"/>
        <v>708</v>
      </c>
      <c r="L743" s="62">
        <f t="shared" si="98"/>
        <v>737</v>
      </c>
      <c r="M743" s="287">
        <v>4.05</v>
      </c>
      <c r="N743" s="284">
        <f>VLOOKUP(5321,季財報!A:N,8,0)</f>
        <v>2</v>
      </c>
    </row>
    <row r="744" spans="1:14">
      <c r="A744" s="184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197">
        <v>0.02</v>
      </c>
      <c r="I744">
        <f t="shared" si="96"/>
        <v>619</v>
      </c>
      <c r="J744" s="190">
        <v>0.01</v>
      </c>
      <c r="K744">
        <f t="shared" si="97"/>
        <v>708</v>
      </c>
      <c r="L744" s="62">
        <f t="shared" si="98"/>
        <v>737</v>
      </c>
      <c r="M744" s="287">
        <v>0.79</v>
      </c>
      <c r="N744" s="284">
        <f>VLOOKUP(5480,季財報!A:N,8,0)</f>
        <v>3</v>
      </c>
    </row>
    <row r="745" spans="1:14">
      <c r="A745" s="184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197">
        <v>0.02</v>
      </c>
      <c r="I745">
        <f t="shared" si="96"/>
        <v>619</v>
      </c>
      <c r="J745" s="190">
        <v>0.01</v>
      </c>
      <c r="K745">
        <f t="shared" si="97"/>
        <v>708</v>
      </c>
      <c r="L745" s="62">
        <f t="shared" si="98"/>
        <v>737</v>
      </c>
      <c r="M745" s="287">
        <v>0.79</v>
      </c>
      <c r="N745" s="284">
        <f>VLOOKUP(4173,季財報!A:N,8,0)</f>
        <v>1</v>
      </c>
    </row>
    <row r="746" spans="1:14">
      <c r="A746" s="184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197">
        <v>0.02</v>
      </c>
      <c r="I746">
        <f t="shared" si="96"/>
        <v>619</v>
      </c>
      <c r="J746" s="190">
        <v>0.01</v>
      </c>
      <c r="K746">
        <f t="shared" si="97"/>
        <v>708</v>
      </c>
      <c r="L746" s="62">
        <f t="shared" si="98"/>
        <v>737</v>
      </c>
      <c r="M746" s="287">
        <v>1.1399999999999999</v>
      </c>
      <c r="N746" s="284">
        <f>VLOOKUP(4916,季財報!A:N,8,0)</f>
        <v>4</v>
      </c>
    </row>
    <row r="747" spans="1:14">
      <c r="A747" s="184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197">
        <v>0.02</v>
      </c>
      <c r="I747">
        <f t="shared" si="96"/>
        <v>619</v>
      </c>
      <c r="J747" s="190">
        <v>0.01</v>
      </c>
      <c r="K747">
        <f t="shared" si="97"/>
        <v>708</v>
      </c>
      <c r="L747" s="62">
        <f t="shared" si="98"/>
        <v>737</v>
      </c>
      <c r="M747" s="287">
        <v>25.32</v>
      </c>
      <c r="N747" s="284">
        <f>VLOOKUP(5395,季財報!A:N,8,0)</f>
        <v>2</v>
      </c>
    </row>
    <row r="748" spans="1:14">
      <c r="A748" s="184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197">
        <v>0.02</v>
      </c>
      <c r="I748">
        <f t="shared" si="96"/>
        <v>619</v>
      </c>
      <c r="J748" s="190">
        <v>0.01</v>
      </c>
      <c r="K748">
        <f t="shared" si="97"/>
        <v>708</v>
      </c>
      <c r="L748" s="62">
        <f t="shared" si="98"/>
        <v>737</v>
      </c>
      <c r="M748" s="287">
        <v>1.1399999999999999</v>
      </c>
      <c r="N748" s="284">
        <f>VLOOKUP(1101,季財報!A:N,8,0)</f>
        <v>1</v>
      </c>
    </row>
    <row r="749" spans="1:14">
      <c r="A749" s="184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197">
        <v>0.02</v>
      </c>
      <c r="I749">
        <f t="shared" si="96"/>
        <v>619</v>
      </c>
      <c r="J749" s="190">
        <v>0.01</v>
      </c>
      <c r="K749">
        <f t="shared" si="97"/>
        <v>708</v>
      </c>
      <c r="L749" s="62">
        <f t="shared" si="98"/>
        <v>737</v>
      </c>
      <c r="M749" s="287">
        <v>0.79</v>
      </c>
      <c r="N749" s="284">
        <f>VLOOKUP(1102,季財報!A:N,8,0)</f>
        <v>1</v>
      </c>
    </row>
    <row r="750" spans="1:14">
      <c r="A750" s="184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197">
        <v>0.02</v>
      </c>
      <c r="I750">
        <f t="shared" si="96"/>
        <v>619</v>
      </c>
      <c r="J750" s="190">
        <v>0.01</v>
      </c>
      <c r="K750">
        <f t="shared" si="97"/>
        <v>708</v>
      </c>
      <c r="L750" s="62">
        <f t="shared" si="98"/>
        <v>737</v>
      </c>
      <c r="M750" s="287">
        <v>2.76</v>
      </c>
      <c r="N750" s="284">
        <f>VLOOKUP(1218,季財報!A:N,8,0)</f>
        <v>3</v>
      </c>
    </row>
    <row r="751" spans="1:14">
      <c r="A751" s="184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197">
        <v>0.02</v>
      </c>
      <c r="I751">
        <f t="shared" si="96"/>
        <v>619</v>
      </c>
      <c r="J751" s="190">
        <v>0.01</v>
      </c>
      <c r="K751">
        <f t="shared" si="97"/>
        <v>708</v>
      </c>
      <c r="L751" s="62">
        <f t="shared" si="98"/>
        <v>737</v>
      </c>
      <c r="M751" s="287">
        <v>0.79</v>
      </c>
      <c r="N751" s="284">
        <f>VLOOKUP(1234,季財報!A:N,8,0)</f>
        <v>5</v>
      </c>
    </row>
    <row r="752" spans="1:14">
      <c r="A752" s="184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197">
        <v>0.02</v>
      </c>
      <c r="I752">
        <f t="shared" si="96"/>
        <v>619</v>
      </c>
      <c r="J752" s="190">
        <v>0.01</v>
      </c>
      <c r="K752">
        <f t="shared" si="97"/>
        <v>708</v>
      </c>
      <c r="L752" s="62">
        <f t="shared" si="98"/>
        <v>737</v>
      </c>
      <c r="M752" s="287">
        <v>0.79</v>
      </c>
      <c r="N752" s="284">
        <f>VLOOKUP(1301,季財報!A:N,8,0)</f>
        <v>2</v>
      </c>
    </row>
    <row r="753" spans="1:14">
      <c r="A753" s="184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197">
        <v>0.02</v>
      </c>
      <c r="I753">
        <f t="shared" si="96"/>
        <v>619</v>
      </c>
      <c r="J753" s="190">
        <v>0.01</v>
      </c>
      <c r="K753">
        <f t="shared" si="97"/>
        <v>708</v>
      </c>
      <c r="L753" s="62">
        <f t="shared" si="98"/>
        <v>737</v>
      </c>
      <c r="M753" s="287">
        <v>1.58</v>
      </c>
      <c r="N753" s="284">
        <f>VLOOKUP(1308,季財報!A:N,8,0)</f>
        <v>1</v>
      </c>
    </row>
    <row r="754" spans="1:14">
      <c r="A754" s="184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197">
        <v>0.02</v>
      </c>
      <c r="I754">
        <f t="shared" si="96"/>
        <v>619</v>
      </c>
      <c r="J754" s="190">
        <v>0.01</v>
      </c>
      <c r="K754">
        <f t="shared" si="97"/>
        <v>708</v>
      </c>
      <c r="L754" s="62">
        <f t="shared" si="98"/>
        <v>737</v>
      </c>
      <c r="M754" s="287">
        <v>0.79</v>
      </c>
      <c r="N754" s="284">
        <f>VLOOKUP(1310,季財報!A:N,8,0)</f>
        <v>2</v>
      </c>
    </row>
    <row r="755" spans="1:14">
      <c r="A755" s="184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197">
        <v>0.02</v>
      </c>
      <c r="I755">
        <f t="shared" si="96"/>
        <v>619</v>
      </c>
      <c r="J755" s="190">
        <v>0.01</v>
      </c>
      <c r="K755">
        <f t="shared" si="97"/>
        <v>708</v>
      </c>
      <c r="L755" s="62">
        <f t="shared" si="98"/>
        <v>737</v>
      </c>
      <c r="M755" s="287">
        <v>6.36</v>
      </c>
      <c r="N755" s="284">
        <f>VLOOKUP(1337,季財報!A:N,8,0)</f>
        <v>3</v>
      </c>
    </row>
    <row r="756" spans="1:14">
      <c r="A756" s="184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197">
        <v>0.02</v>
      </c>
      <c r="I756">
        <f t="shared" si="96"/>
        <v>619</v>
      </c>
      <c r="J756" s="190">
        <v>0.01</v>
      </c>
      <c r="K756">
        <f t="shared" si="97"/>
        <v>708</v>
      </c>
      <c r="L756" s="62">
        <f t="shared" si="98"/>
        <v>737</v>
      </c>
      <c r="M756" s="287">
        <v>0.79</v>
      </c>
      <c r="N756" s="284">
        <f>VLOOKUP(1434,季財報!A:N,8,0)</f>
        <v>2</v>
      </c>
    </row>
    <row r="757" spans="1:14">
      <c r="A757" s="184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197">
        <v>0.02</v>
      </c>
      <c r="I757">
        <f t="shared" si="96"/>
        <v>619</v>
      </c>
      <c r="J757" s="190">
        <v>0.01</v>
      </c>
      <c r="K757">
        <f t="shared" si="97"/>
        <v>708</v>
      </c>
      <c r="L757" s="62">
        <f t="shared" si="98"/>
        <v>737</v>
      </c>
      <c r="M757" s="287">
        <v>3.37</v>
      </c>
      <c r="N757" s="284">
        <f>VLOOKUP(1460,季財報!A:N,8,0)</f>
        <v>3</v>
      </c>
    </row>
    <row r="758" spans="1:14">
      <c r="A758" s="184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197">
        <v>0.02</v>
      </c>
      <c r="I758">
        <f t="shared" si="96"/>
        <v>619</v>
      </c>
      <c r="J758" s="190">
        <v>0.01</v>
      </c>
      <c r="K758">
        <f t="shared" si="97"/>
        <v>708</v>
      </c>
      <c r="L758" s="62">
        <f t="shared" si="98"/>
        <v>737</v>
      </c>
      <c r="M758" s="287">
        <v>12.98</v>
      </c>
      <c r="N758" s="284">
        <f>VLOOKUP(1464,季財報!A:N,8,0)</f>
        <v>1</v>
      </c>
    </row>
    <row r="759" spans="1:14">
      <c r="A759" s="184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197">
        <v>0.02</v>
      </c>
      <c r="I759">
        <f t="shared" si="96"/>
        <v>619</v>
      </c>
      <c r="J759" s="190">
        <v>0.01</v>
      </c>
      <c r="K759">
        <f t="shared" si="97"/>
        <v>708</v>
      </c>
      <c r="L759" s="62">
        <f t="shared" si="98"/>
        <v>737</v>
      </c>
      <c r="M759" s="287">
        <v>0.79</v>
      </c>
      <c r="N759" s="284">
        <f>VLOOKUP(1503,季財報!A:N,8,0)</f>
        <v>2</v>
      </c>
    </row>
    <row r="760" spans="1:14">
      <c r="A760" s="184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197">
        <v>0.02</v>
      </c>
      <c r="I760">
        <f t="shared" si="96"/>
        <v>619</v>
      </c>
      <c r="J760" s="190">
        <v>0.01</v>
      </c>
      <c r="K760">
        <f t="shared" si="97"/>
        <v>708</v>
      </c>
      <c r="L760" s="62">
        <f t="shared" si="98"/>
        <v>737</v>
      </c>
      <c r="M760" s="287">
        <v>0.79</v>
      </c>
      <c r="N760" s="284">
        <f>VLOOKUP(1535,季財報!A:N,8,0)</f>
        <v>1</v>
      </c>
    </row>
    <row r="761" spans="1:14">
      <c r="A761" s="184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197">
        <v>0.02</v>
      </c>
      <c r="I761">
        <f t="shared" si="96"/>
        <v>619</v>
      </c>
      <c r="J761" s="190">
        <v>0.01</v>
      </c>
      <c r="K761">
        <f t="shared" si="97"/>
        <v>708</v>
      </c>
      <c r="L761" s="62">
        <f t="shared" si="98"/>
        <v>737</v>
      </c>
      <c r="M761" s="287">
        <v>0.79</v>
      </c>
      <c r="N761" s="284">
        <f>VLOOKUP(1721,季財報!A:N,8,0)</f>
        <v>3</v>
      </c>
    </row>
    <row r="762" spans="1:14">
      <c r="A762" s="184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197">
        <v>0.02</v>
      </c>
      <c r="I762">
        <f t="shared" si="96"/>
        <v>619</v>
      </c>
      <c r="J762" s="190">
        <v>0.01</v>
      </c>
      <c r="K762">
        <f t="shared" si="97"/>
        <v>708</v>
      </c>
      <c r="L762" s="62">
        <f t="shared" si="98"/>
        <v>737</v>
      </c>
      <c r="M762" s="287">
        <v>0.79</v>
      </c>
      <c r="N762" s="284">
        <f>VLOOKUP(1725,季財報!A:N,8,0)</f>
        <v>3</v>
      </c>
    </row>
    <row r="763" spans="1:14">
      <c r="A763" s="184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197">
        <v>0.02</v>
      </c>
      <c r="I763">
        <f t="shared" si="96"/>
        <v>619</v>
      </c>
      <c r="J763" s="190">
        <v>0.01</v>
      </c>
      <c r="K763">
        <f t="shared" si="97"/>
        <v>708</v>
      </c>
      <c r="L763" s="62">
        <f t="shared" si="98"/>
        <v>737</v>
      </c>
      <c r="M763" s="287">
        <v>19.73</v>
      </c>
      <c r="N763" s="284">
        <f>VLOOKUP(1731,季財報!A:N,8,0)</f>
        <v>2</v>
      </c>
    </row>
    <row r="764" spans="1:14">
      <c r="A764" s="184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197">
        <v>0.02</v>
      </c>
      <c r="I764">
        <f t="shared" si="96"/>
        <v>619</v>
      </c>
      <c r="J764" s="190">
        <v>0.01</v>
      </c>
      <c r="K764">
        <f t="shared" si="97"/>
        <v>708</v>
      </c>
      <c r="L764" s="62">
        <f t="shared" si="98"/>
        <v>737</v>
      </c>
      <c r="M764" s="287">
        <v>0.79</v>
      </c>
      <c r="N764" s="284">
        <f>VLOOKUP(1735,季財報!A:N,8,0)</f>
        <v>2</v>
      </c>
    </row>
    <row r="765" spans="1:14">
      <c r="A765" s="184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197">
        <v>0.02</v>
      </c>
      <c r="I765">
        <f t="shared" si="96"/>
        <v>619</v>
      </c>
      <c r="J765" s="190">
        <v>0.01</v>
      </c>
      <c r="K765">
        <f t="shared" si="97"/>
        <v>708</v>
      </c>
      <c r="L765" s="62">
        <f t="shared" si="98"/>
        <v>737</v>
      </c>
      <c r="M765" s="287">
        <v>0.79</v>
      </c>
      <c r="N765" s="284">
        <f>VLOOKUP(1736,季財報!A:N,8,0)</f>
        <v>1</v>
      </c>
    </row>
    <row r="766" spans="1:14">
      <c r="A766" s="184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197">
        <v>0.02</v>
      </c>
      <c r="I766">
        <f t="shared" si="96"/>
        <v>619</v>
      </c>
      <c r="J766" s="190">
        <v>0.01</v>
      </c>
      <c r="K766">
        <f t="shared" si="97"/>
        <v>708</v>
      </c>
      <c r="L766" s="62">
        <f t="shared" si="98"/>
        <v>737</v>
      </c>
      <c r="M766" s="287">
        <v>1.29</v>
      </c>
      <c r="N766" s="284">
        <f>VLOOKUP(1785,季財報!A:N,8,0)</f>
        <v>1</v>
      </c>
    </row>
    <row r="767" spans="1:14">
      <c r="A767" s="184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197">
        <v>0.02</v>
      </c>
      <c r="I767">
        <f t="shared" si="96"/>
        <v>619</v>
      </c>
      <c r="J767" s="190">
        <v>0.01</v>
      </c>
      <c r="K767">
        <f t="shared" si="97"/>
        <v>708</v>
      </c>
      <c r="L767" s="62">
        <f t="shared" si="98"/>
        <v>737</v>
      </c>
      <c r="M767" s="287">
        <v>0.79</v>
      </c>
      <c r="N767" s="284">
        <f>VLOOKUP(1813,季財報!A:N,8,0)</f>
        <v>3</v>
      </c>
    </row>
    <row r="768" spans="1:14">
      <c r="A768" s="184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197">
        <v>0.02</v>
      </c>
      <c r="I768">
        <f t="shared" si="96"/>
        <v>619</v>
      </c>
      <c r="J768" s="190">
        <v>0.01</v>
      </c>
      <c r="K768">
        <f t="shared" si="97"/>
        <v>708</v>
      </c>
      <c r="L768" s="62">
        <f t="shared" si="98"/>
        <v>737</v>
      </c>
      <c r="M768" s="287">
        <v>0.79</v>
      </c>
      <c r="N768" s="284">
        <f>VLOOKUP(2012,季財報!A:N,8,0)</f>
        <v>3</v>
      </c>
    </row>
    <row r="769" spans="1:14">
      <c r="A769" s="184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197">
        <v>0.02</v>
      </c>
      <c r="I769">
        <f t="shared" si="96"/>
        <v>619</v>
      </c>
      <c r="J769" s="190">
        <v>0.01</v>
      </c>
      <c r="K769">
        <f t="shared" si="97"/>
        <v>708</v>
      </c>
      <c r="L769" s="62">
        <f t="shared" si="98"/>
        <v>737</v>
      </c>
      <c r="M769" s="287">
        <v>0.79</v>
      </c>
      <c r="N769" s="284">
        <f>VLOOKUP(2204,季財報!A:N,8,0)</f>
        <v>3</v>
      </c>
    </row>
    <row r="770" spans="1:14">
      <c r="A770" s="184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197">
        <v>0.02</v>
      </c>
      <c r="I770">
        <f t="shared" ref="I770:I801" si="99">RANK(0.02,H:H,0)</f>
        <v>619</v>
      </c>
      <c r="J770" s="190">
        <v>0.01</v>
      </c>
      <c r="K770">
        <f t="shared" si="97"/>
        <v>708</v>
      </c>
      <c r="L770" s="62">
        <f t="shared" ref="L770:L801" si="100">RANK(1.14,M:M,0)</f>
        <v>737</v>
      </c>
      <c r="M770" s="287">
        <v>0.79</v>
      </c>
      <c r="N770" s="284">
        <f>VLOOKUP(2302,季財報!A:N,8,0)</f>
        <v>2</v>
      </c>
    </row>
    <row r="771" spans="1:14">
      <c r="A771" s="184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197">
        <v>0.02</v>
      </c>
      <c r="I771">
        <f t="shared" si="99"/>
        <v>619</v>
      </c>
      <c r="J771" s="190">
        <v>0.01</v>
      </c>
      <c r="K771">
        <f t="shared" si="97"/>
        <v>708</v>
      </c>
      <c r="L771" s="62">
        <f t="shared" si="100"/>
        <v>737</v>
      </c>
      <c r="M771" s="287">
        <v>0.79</v>
      </c>
      <c r="N771" s="284">
        <f>VLOOKUP(2409,季財報!A:N,8,0)</f>
        <v>1</v>
      </c>
    </row>
    <row r="772" spans="1:14">
      <c r="A772" s="184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197">
        <v>0.02</v>
      </c>
      <c r="I772">
        <f t="shared" si="99"/>
        <v>619</v>
      </c>
      <c r="J772" s="190">
        <v>0.01</v>
      </c>
      <c r="K772">
        <f t="shared" si="97"/>
        <v>708</v>
      </c>
      <c r="L772" s="62">
        <f t="shared" si="100"/>
        <v>737</v>
      </c>
      <c r="M772" s="287">
        <v>0.79</v>
      </c>
      <c r="N772" s="284">
        <f>VLOOKUP(2462,季財報!A:N,8,0)</f>
        <v>2</v>
      </c>
    </row>
    <row r="773" spans="1:14">
      <c r="A773" s="184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197">
        <v>0.02</v>
      </c>
      <c r="I773">
        <f t="shared" si="99"/>
        <v>619</v>
      </c>
      <c r="J773" s="190">
        <v>0.01</v>
      </c>
      <c r="K773">
        <f t="shared" si="97"/>
        <v>708</v>
      </c>
      <c r="L773" s="62">
        <f t="shared" si="100"/>
        <v>737</v>
      </c>
      <c r="M773" s="287">
        <v>0.79</v>
      </c>
      <c r="N773" s="284">
        <f>VLOOKUP(2542,季財報!A:N,8,0)</f>
        <v>1</v>
      </c>
    </row>
    <row r="774" spans="1:14">
      <c r="A774" s="184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197">
        <v>0.02</v>
      </c>
      <c r="I774">
        <f t="shared" si="99"/>
        <v>619</v>
      </c>
      <c r="J774" s="190">
        <v>0.01</v>
      </c>
      <c r="K774">
        <f t="shared" si="97"/>
        <v>708</v>
      </c>
      <c r="L774" s="62">
        <f t="shared" si="100"/>
        <v>737</v>
      </c>
      <c r="M774" s="287">
        <v>0.79</v>
      </c>
      <c r="N774" s="284">
        <f>VLOOKUP(2548,季財報!A:N,8,0)</f>
        <v>1</v>
      </c>
    </row>
    <row r="775" spans="1:14">
      <c r="A775" s="184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197">
        <v>0.02</v>
      </c>
      <c r="I775">
        <f t="shared" si="99"/>
        <v>619</v>
      </c>
      <c r="J775" s="190">
        <v>0.01</v>
      </c>
      <c r="K775">
        <f t="shared" si="97"/>
        <v>708</v>
      </c>
      <c r="L775" s="62">
        <f t="shared" si="100"/>
        <v>737</v>
      </c>
      <c r="M775" s="287">
        <v>4.6500000000000004</v>
      </c>
      <c r="N775" s="284">
        <f>VLOOKUP(2910,季財報!A:N,8,0)</f>
        <v>1</v>
      </c>
    </row>
    <row r="776" spans="1:14">
      <c r="A776" s="184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197">
        <v>0.02</v>
      </c>
      <c r="I776">
        <f t="shared" si="99"/>
        <v>619</v>
      </c>
      <c r="J776" s="190">
        <v>0.01</v>
      </c>
      <c r="K776">
        <f t="shared" si="97"/>
        <v>708</v>
      </c>
      <c r="L776" s="62">
        <f t="shared" si="100"/>
        <v>737</v>
      </c>
      <c r="M776" s="287">
        <v>0.79</v>
      </c>
      <c r="N776" s="284">
        <f>VLOOKUP(3052,季財報!A:N,8,0)</f>
        <v>2</v>
      </c>
    </row>
    <row r="777" spans="1:14">
      <c r="A777" s="184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197">
        <v>0.02</v>
      </c>
      <c r="I777">
        <f t="shared" si="99"/>
        <v>619</v>
      </c>
      <c r="J777" s="190">
        <v>0.01</v>
      </c>
      <c r="K777">
        <f t="shared" si="97"/>
        <v>708</v>
      </c>
      <c r="L777" s="62">
        <f t="shared" si="100"/>
        <v>737</v>
      </c>
      <c r="M777" s="287">
        <v>0.79</v>
      </c>
      <c r="N777" s="284">
        <f>VLOOKUP(3231,季財報!A:N,8,0)</f>
        <v>3</v>
      </c>
    </row>
    <row r="778" spans="1:14">
      <c r="A778" s="184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197">
        <v>0.02</v>
      </c>
      <c r="I778">
        <f t="shared" si="99"/>
        <v>619</v>
      </c>
      <c r="J778" s="190">
        <v>0.01</v>
      </c>
      <c r="K778">
        <f t="shared" si="97"/>
        <v>708</v>
      </c>
      <c r="L778" s="62">
        <f t="shared" si="100"/>
        <v>737</v>
      </c>
      <c r="M778" s="287">
        <v>1.84</v>
      </c>
      <c r="N778" s="284">
        <f>VLOOKUP(3315,季財報!A:N,8,0)</f>
        <v>3</v>
      </c>
    </row>
    <row r="779" spans="1:14">
      <c r="A779" s="184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197">
        <v>0.02</v>
      </c>
      <c r="I779">
        <f t="shared" si="99"/>
        <v>619</v>
      </c>
      <c r="J779" s="190">
        <v>0.01</v>
      </c>
      <c r="K779">
        <f t="shared" si="97"/>
        <v>708</v>
      </c>
      <c r="L779" s="62">
        <f t="shared" si="100"/>
        <v>737</v>
      </c>
      <c r="M779" s="287">
        <v>0.79</v>
      </c>
      <c r="N779" s="284">
        <f>VLOOKUP(4104,季財報!A:N,8,0)</f>
        <v>3</v>
      </c>
    </row>
    <row r="780" spans="1:14">
      <c r="A780" s="184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197">
        <v>0.02</v>
      </c>
      <c r="I780">
        <f t="shared" si="99"/>
        <v>619</v>
      </c>
      <c r="J780" s="190">
        <v>0.01</v>
      </c>
      <c r="K780">
        <f t="shared" si="97"/>
        <v>708</v>
      </c>
      <c r="L780" s="62">
        <f t="shared" si="100"/>
        <v>737</v>
      </c>
      <c r="M780" s="287">
        <v>1.18</v>
      </c>
      <c r="N780" s="284">
        <f>VLOOKUP(4127,季財報!A:N,8,0)</f>
        <v>0</v>
      </c>
    </row>
    <row r="781" spans="1:14">
      <c r="A781" s="184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197">
        <v>0.02</v>
      </c>
      <c r="I781">
        <f t="shared" si="99"/>
        <v>619</v>
      </c>
      <c r="J781" s="190">
        <v>0.01</v>
      </c>
      <c r="K781">
        <f t="shared" si="97"/>
        <v>708</v>
      </c>
      <c r="L781" s="62">
        <f t="shared" si="100"/>
        <v>737</v>
      </c>
      <c r="M781" s="287">
        <v>1.36</v>
      </c>
      <c r="N781" s="284">
        <f>VLOOKUP(9908,季財報!A:N,8,0)</f>
        <v>4</v>
      </c>
    </row>
    <row r="782" spans="1:14">
      <c r="A782" s="184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197">
        <v>0.02</v>
      </c>
      <c r="I782">
        <f t="shared" si="99"/>
        <v>619</v>
      </c>
      <c r="J782" s="190">
        <v>0.01</v>
      </c>
      <c r="K782">
        <f t="shared" si="97"/>
        <v>708</v>
      </c>
      <c r="L782" s="62">
        <f t="shared" si="100"/>
        <v>737</v>
      </c>
      <c r="M782" s="287">
        <v>1.01</v>
      </c>
      <c r="N782" s="284">
        <f>VLOOKUP(8432,季財報!A:N,8,0)</f>
        <v>1</v>
      </c>
    </row>
    <row r="783" spans="1:14">
      <c r="A783" s="184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197">
        <v>0.02</v>
      </c>
      <c r="I783">
        <f t="shared" si="99"/>
        <v>619</v>
      </c>
      <c r="J783" s="190">
        <v>0.01</v>
      </c>
      <c r="K783">
        <f t="shared" si="97"/>
        <v>708</v>
      </c>
      <c r="L783" s="62">
        <f t="shared" si="100"/>
        <v>737</v>
      </c>
      <c r="M783" s="287">
        <v>3.37</v>
      </c>
      <c r="N783" s="284">
        <f>VLOOKUP(8921,季財報!A:N,8,0)</f>
        <v>3</v>
      </c>
    </row>
    <row r="784" spans="1:14">
      <c r="A784" s="184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197">
        <v>0.02</v>
      </c>
      <c r="I784">
        <f t="shared" si="99"/>
        <v>619</v>
      </c>
      <c r="J784" s="190">
        <v>0.01</v>
      </c>
      <c r="K784">
        <f t="shared" si="97"/>
        <v>708</v>
      </c>
      <c r="L784" s="62">
        <f t="shared" si="100"/>
        <v>737</v>
      </c>
      <c r="M784" s="287">
        <v>0.79</v>
      </c>
      <c r="N784" s="284">
        <f>VLOOKUP(6155,季財報!A:N,8,0)</f>
        <v>4</v>
      </c>
    </row>
    <row r="785" spans="1:14">
      <c r="A785" s="184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197">
        <v>0.02</v>
      </c>
      <c r="I785">
        <f t="shared" si="99"/>
        <v>619</v>
      </c>
      <c r="J785" s="190">
        <v>0.01</v>
      </c>
      <c r="K785">
        <f t="shared" si="97"/>
        <v>708</v>
      </c>
      <c r="L785" s="62">
        <f t="shared" si="100"/>
        <v>737</v>
      </c>
      <c r="M785" s="287">
        <v>0.79</v>
      </c>
      <c r="N785" s="284">
        <f>VLOOKUP(6190,季財報!A:N,8,0)</f>
        <v>2</v>
      </c>
    </row>
    <row r="786" spans="1:14">
      <c r="A786" s="184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197">
        <v>0.02</v>
      </c>
      <c r="I786">
        <f t="shared" si="99"/>
        <v>619</v>
      </c>
      <c r="J786" s="190">
        <v>0.01</v>
      </c>
      <c r="K786">
        <f t="shared" si="97"/>
        <v>708</v>
      </c>
      <c r="L786" s="62">
        <f t="shared" si="100"/>
        <v>737</v>
      </c>
      <c r="M786" s="287">
        <v>1.36</v>
      </c>
      <c r="N786" s="284">
        <f>VLOOKUP(6208,季財報!A:N,8,0)</f>
        <v>3</v>
      </c>
    </row>
    <row r="787" spans="1:14">
      <c r="A787" s="184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197">
        <v>0.02</v>
      </c>
      <c r="I787">
        <f t="shared" si="99"/>
        <v>619</v>
      </c>
      <c r="J787" s="190">
        <v>0.01</v>
      </c>
      <c r="K787">
        <f t="shared" si="97"/>
        <v>708</v>
      </c>
      <c r="L787" s="62">
        <f t="shared" si="100"/>
        <v>737</v>
      </c>
      <c r="M787" s="287">
        <v>0.79</v>
      </c>
      <c r="N787" s="284">
        <f>VLOOKUP(6229,季財報!A:N,8,0)</f>
        <v>5</v>
      </c>
    </row>
    <row r="788" spans="1:14">
      <c r="A788" s="184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197">
        <v>0.02</v>
      </c>
      <c r="I788">
        <f t="shared" si="99"/>
        <v>619</v>
      </c>
      <c r="J788" s="190">
        <v>0.01</v>
      </c>
      <c r="K788">
        <f t="shared" si="97"/>
        <v>708</v>
      </c>
      <c r="L788" s="62">
        <f t="shared" si="100"/>
        <v>737</v>
      </c>
      <c r="M788" s="287">
        <v>0.79</v>
      </c>
      <c r="N788" s="284">
        <f>VLOOKUP(5305,季財報!A:N,8,0)</f>
        <v>1</v>
      </c>
    </row>
    <row r="789" spans="1:14">
      <c r="A789" s="184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197">
        <v>0.02</v>
      </c>
      <c r="I789">
        <f t="shared" si="99"/>
        <v>619</v>
      </c>
      <c r="J789" s="190">
        <v>0.01</v>
      </c>
      <c r="K789">
        <f t="shared" si="97"/>
        <v>708</v>
      </c>
      <c r="L789" s="62">
        <f t="shared" si="100"/>
        <v>737</v>
      </c>
      <c r="M789" s="287">
        <v>3.27</v>
      </c>
      <c r="N789" s="284">
        <f>VLOOKUP(5452,季財報!A:N,8,0)</f>
        <v>1</v>
      </c>
    </row>
    <row r="790" spans="1:14">
      <c r="A790" s="184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197">
        <v>0.02</v>
      </c>
      <c r="I790">
        <f t="shared" si="99"/>
        <v>619</v>
      </c>
      <c r="J790" s="190">
        <v>0.01</v>
      </c>
      <c r="K790">
        <f t="shared" si="97"/>
        <v>708</v>
      </c>
      <c r="L790" s="62">
        <f t="shared" si="100"/>
        <v>737</v>
      </c>
      <c r="M790" s="287">
        <v>1.18</v>
      </c>
      <c r="N790" s="284">
        <f>VLOOKUP(5601,季財報!A:N,8,0)</f>
        <v>4</v>
      </c>
    </row>
    <row r="791" spans="1:14">
      <c r="A791" s="184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197">
        <v>0.02</v>
      </c>
      <c r="I791">
        <f t="shared" si="99"/>
        <v>619</v>
      </c>
      <c r="J791" s="190">
        <v>0.01</v>
      </c>
      <c r="K791">
        <f t="shared" si="97"/>
        <v>708</v>
      </c>
      <c r="L791" s="62">
        <f t="shared" si="100"/>
        <v>737</v>
      </c>
      <c r="M791" s="287">
        <v>0.79</v>
      </c>
      <c r="N791" s="284">
        <f>VLOOKUP(4420,季財報!A:N,8,0)</f>
        <v>1</v>
      </c>
    </row>
    <row r="792" spans="1:14">
      <c r="A792" s="184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197">
        <v>0.02</v>
      </c>
      <c r="I792">
        <f t="shared" si="99"/>
        <v>619</v>
      </c>
      <c r="J792" s="190">
        <v>0.01</v>
      </c>
      <c r="K792">
        <f t="shared" si="97"/>
        <v>708</v>
      </c>
      <c r="L792" s="62">
        <f t="shared" si="100"/>
        <v>737</v>
      </c>
      <c r="M792" s="287">
        <v>0.79</v>
      </c>
      <c r="N792" s="284">
        <f>VLOOKUP(4550,季財報!A:N,8,0)</f>
        <v>1</v>
      </c>
    </row>
    <row r="793" spans="1:14">
      <c r="A793" s="184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197">
        <v>0.02</v>
      </c>
      <c r="I793">
        <f t="shared" si="99"/>
        <v>619</v>
      </c>
      <c r="J793" s="190">
        <v>0.01</v>
      </c>
      <c r="K793">
        <f t="shared" si="97"/>
        <v>708</v>
      </c>
      <c r="L793" s="62">
        <f t="shared" si="100"/>
        <v>737</v>
      </c>
      <c r="M793" s="287">
        <v>6.28</v>
      </c>
      <c r="N793" s="284">
        <f>VLOOKUP(4711,季財報!A:N,8,0)</f>
        <v>3</v>
      </c>
    </row>
    <row r="794" spans="1:14">
      <c r="A794" s="184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197">
        <v>0.02</v>
      </c>
      <c r="I794">
        <f t="shared" si="99"/>
        <v>619</v>
      </c>
      <c r="J794" s="190">
        <v>0.01</v>
      </c>
      <c r="K794">
        <f t="shared" si="97"/>
        <v>708</v>
      </c>
      <c r="L794" s="62">
        <f t="shared" si="100"/>
        <v>737</v>
      </c>
      <c r="M794" s="287">
        <v>0.79</v>
      </c>
      <c r="N794" s="284">
        <f>VLOOKUP(4934,季財報!A:N,8,0)</f>
        <v>4</v>
      </c>
    </row>
    <row r="795" spans="1:14">
      <c r="A795" s="184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197">
        <v>0.02</v>
      </c>
      <c r="I795">
        <f t="shared" si="99"/>
        <v>619</v>
      </c>
      <c r="J795" s="190">
        <v>0.01</v>
      </c>
      <c r="K795">
        <f t="shared" si="97"/>
        <v>708</v>
      </c>
      <c r="L795" s="62">
        <f t="shared" si="100"/>
        <v>737</v>
      </c>
      <c r="M795" s="287">
        <v>2.76</v>
      </c>
      <c r="N795" s="284">
        <f>VLOOKUP(6175,季財報!A:N,8,0)</f>
        <v>1</v>
      </c>
    </row>
    <row r="796" spans="1:14">
      <c r="A796" s="184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197">
        <v>0.02</v>
      </c>
      <c r="I796">
        <f t="shared" si="99"/>
        <v>619</v>
      </c>
      <c r="J796" s="190">
        <v>0.01</v>
      </c>
      <c r="K796">
        <f t="shared" si="97"/>
        <v>708</v>
      </c>
      <c r="L796" s="62">
        <f t="shared" si="100"/>
        <v>737</v>
      </c>
      <c r="M796" s="287">
        <v>14.75</v>
      </c>
      <c r="N796" s="284">
        <f>VLOOKUP(1467,季財報!A:N,8,0)</f>
        <v>1</v>
      </c>
    </row>
    <row r="797" spans="1:14">
      <c r="A797" s="184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197">
        <v>0.02</v>
      </c>
      <c r="I797">
        <f t="shared" si="99"/>
        <v>619</v>
      </c>
      <c r="J797" s="190">
        <v>0.01</v>
      </c>
      <c r="K797">
        <f t="shared" si="97"/>
        <v>708</v>
      </c>
      <c r="L797" s="62">
        <f t="shared" si="100"/>
        <v>737</v>
      </c>
      <c r="M797" s="287">
        <v>1.9</v>
      </c>
      <c r="N797" s="284">
        <f>VLOOKUP(1474,季財報!A:N,8,0)</f>
        <v>3</v>
      </c>
    </row>
    <row r="798" spans="1:14">
      <c r="A798" s="184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197">
        <v>0.02</v>
      </c>
      <c r="I798">
        <f t="shared" si="99"/>
        <v>619</v>
      </c>
      <c r="J798" s="190">
        <v>0.01</v>
      </c>
      <c r="K798">
        <f t="shared" si="97"/>
        <v>708</v>
      </c>
      <c r="L798" s="62">
        <f t="shared" si="100"/>
        <v>737</v>
      </c>
      <c r="M798" s="287">
        <v>1.59</v>
      </c>
      <c r="N798" s="284">
        <f>VLOOKUP(1615,季財報!A:N,8,0)</f>
        <v>2</v>
      </c>
    </row>
    <row r="799" spans="1:14">
      <c r="A799" s="184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197">
        <v>0.02</v>
      </c>
      <c r="I799">
        <f t="shared" si="99"/>
        <v>619</v>
      </c>
      <c r="J799" s="190">
        <v>0.01</v>
      </c>
      <c r="K799">
        <f t="shared" si="97"/>
        <v>708</v>
      </c>
      <c r="L799" s="62">
        <f t="shared" si="100"/>
        <v>737</v>
      </c>
      <c r="M799" s="287">
        <v>1.58</v>
      </c>
      <c r="N799" s="284">
        <f>VLOOKUP(1722,季財報!A:N,8,0)</f>
        <v>3</v>
      </c>
    </row>
    <row r="800" spans="1:14">
      <c r="A800" s="184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197">
        <v>0.02</v>
      </c>
      <c r="I800">
        <f t="shared" si="99"/>
        <v>619</v>
      </c>
      <c r="J800" s="190">
        <v>0.01</v>
      </c>
      <c r="K800">
        <f t="shared" si="97"/>
        <v>708</v>
      </c>
      <c r="L800" s="62">
        <f t="shared" si="100"/>
        <v>737</v>
      </c>
      <c r="M800" s="287">
        <v>1.9</v>
      </c>
      <c r="N800" s="284">
        <f>VLOOKUP(2423,季財報!A:N,8,0)</f>
        <v>2</v>
      </c>
    </row>
    <row r="801" spans="1:14">
      <c r="A801" s="184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197">
        <v>0.02</v>
      </c>
      <c r="I801">
        <f t="shared" si="99"/>
        <v>619</v>
      </c>
      <c r="J801" s="190">
        <v>0.01</v>
      </c>
      <c r="K801">
        <f t="shared" si="97"/>
        <v>708</v>
      </c>
      <c r="L801" s="62">
        <f t="shared" si="100"/>
        <v>737</v>
      </c>
      <c r="M801" s="287">
        <v>0.79</v>
      </c>
      <c r="N801" s="284">
        <f>VLOOKUP(2466,季財報!A:N,8,0)</f>
        <v>3</v>
      </c>
    </row>
    <row r="802" spans="1:14">
      <c r="A802" s="184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197">
        <v>0.02</v>
      </c>
      <c r="I802">
        <f>RANK(0.02,H:H,0)</f>
        <v>619</v>
      </c>
      <c r="J802" s="190">
        <v>0.01</v>
      </c>
      <c r="K802">
        <f t="shared" ref="K802:K865" si="101">RANK(0.01,J:J,0)</f>
        <v>708</v>
      </c>
      <c r="L802" s="62">
        <f>RANK(1.14,M:M,0)</f>
        <v>737</v>
      </c>
      <c r="M802" s="287">
        <v>0.79</v>
      </c>
      <c r="N802" s="284">
        <f>VLOOKUP(2482,季財報!A:N,8,0)</f>
        <v>6</v>
      </c>
    </row>
    <row r="803" spans="1:14">
      <c r="A803" s="184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197">
        <v>0.02</v>
      </c>
      <c r="I803">
        <f>RANK(0.02,H:H,0)</f>
        <v>619</v>
      </c>
      <c r="J803" s="190">
        <v>0.01</v>
      </c>
      <c r="K803">
        <f t="shared" si="101"/>
        <v>708</v>
      </c>
      <c r="L803" s="62">
        <f>RANK(1.14,M:M,0)</f>
        <v>737</v>
      </c>
      <c r="M803" s="287">
        <v>0.79</v>
      </c>
      <c r="N803" s="284">
        <f>VLOOKUP(2706,季財報!A:N,8,0)</f>
        <v>4</v>
      </c>
    </row>
    <row r="804" spans="1:14">
      <c r="A804" s="184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197">
        <v>0.01</v>
      </c>
      <c r="I804">
        <f t="shared" ref="I804:I835" si="102">RANK(0.01,H:H,0)</f>
        <v>796</v>
      </c>
      <c r="J804" s="190">
        <v>0.01</v>
      </c>
      <c r="K804">
        <f t="shared" si="101"/>
        <v>708</v>
      </c>
      <c r="L804" s="62">
        <f t="shared" ref="L804:L835" si="103">RANK(1.01,M:M,0)</f>
        <v>803</v>
      </c>
      <c r="M804" s="287">
        <v>0.79</v>
      </c>
      <c r="N804" s="284">
        <f>VLOOKUP(9944,季財報!A:N,8,0)</f>
        <v>2</v>
      </c>
    </row>
    <row r="805" spans="1:14">
      <c r="A805" s="184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197">
        <v>0.01</v>
      </c>
      <c r="I805">
        <f t="shared" si="102"/>
        <v>796</v>
      </c>
      <c r="J805" s="190">
        <v>0.01</v>
      </c>
      <c r="K805">
        <f t="shared" si="101"/>
        <v>708</v>
      </c>
      <c r="L805" s="62">
        <f t="shared" si="103"/>
        <v>803</v>
      </c>
      <c r="M805" s="287">
        <v>0.79</v>
      </c>
      <c r="N805" s="284">
        <f>VLOOKUP(8937,季財報!A:N,8,0)</f>
        <v>5</v>
      </c>
    </row>
    <row r="806" spans="1:14">
      <c r="A806" s="184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197">
        <v>0.01</v>
      </c>
      <c r="I806">
        <f t="shared" si="102"/>
        <v>796</v>
      </c>
      <c r="J806" s="190">
        <v>0.01</v>
      </c>
      <c r="K806">
        <f t="shared" si="101"/>
        <v>708</v>
      </c>
      <c r="L806" s="62">
        <f t="shared" si="103"/>
        <v>803</v>
      </c>
      <c r="M806" s="287">
        <v>6.36</v>
      </c>
      <c r="N806" s="284">
        <f>VLOOKUP(9802,季財報!A:N,8,0)</f>
        <v>2</v>
      </c>
    </row>
    <row r="807" spans="1:14">
      <c r="A807" s="184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197">
        <v>0.01</v>
      </c>
      <c r="I807">
        <f t="shared" si="102"/>
        <v>796</v>
      </c>
      <c r="J807" s="190">
        <v>0.01</v>
      </c>
      <c r="K807">
        <f t="shared" si="101"/>
        <v>708</v>
      </c>
      <c r="L807" s="62">
        <f t="shared" si="103"/>
        <v>803</v>
      </c>
      <c r="M807" s="287">
        <v>0.79</v>
      </c>
      <c r="N807" s="284">
        <f>VLOOKUP(8463,季財報!A:N,8,0)</f>
        <v>1</v>
      </c>
    </row>
    <row r="808" spans="1:14">
      <c r="A808" s="184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197">
        <v>0.01</v>
      </c>
      <c r="I808">
        <f t="shared" si="102"/>
        <v>796</v>
      </c>
      <c r="J808" s="190">
        <v>0.01</v>
      </c>
      <c r="K808">
        <f t="shared" si="101"/>
        <v>708</v>
      </c>
      <c r="L808" s="62">
        <f t="shared" si="103"/>
        <v>803</v>
      </c>
      <c r="M808" s="287">
        <v>0.79</v>
      </c>
      <c r="N808" s="284">
        <f>VLOOKUP(8905,季財報!A:N,8,0)</f>
        <v>1</v>
      </c>
    </row>
    <row r="809" spans="1:14">
      <c r="A809" s="184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197">
        <v>0.01</v>
      </c>
      <c r="I809">
        <f t="shared" si="102"/>
        <v>796</v>
      </c>
      <c r="J809" s="190">
        <v>0.01</v>
      </c>
      <c r="K809">
        <f t="shared" si="101"/>
        <v>708</v>
      </c>
      <c r="L809" s="62">
        <f t="shared" si="103"/>
        <v>803</v>
      </c>
      <c r="M809" s="287">
        <v>0.79</v>
      </c>
      <c r="N809" s="284">
        <f>VLOOKUP(9931,季財報!A:N,8,0)</f>
        <v>2</v>
      </c>
    </row>
    <row r="810" spans="1:14">
      <c r="A810" s="184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197">
        <v>0.01</v>
      </c>
      <c r="I810">
        <f t="shared" si="102"/>
        <v>796</v>
      </c>
      <c r="J810" s="190">
        <v>0.01</v>
      </c>
      <c r="K810">
        <f t="shared" si="101"/>
        <v>708</v>
      </c>
      <c r="L810" s="62">
        <f t="shared" si="103"/>
        <v>803</v>
      </c>
      <c r="M810" s="287">
        <v>0.79</v>
      </c>
      <c r="N810" s="284">
        <f>VLOOKUP(8421,季財報!A:N,8,0)</f>
        <v>5</v>
      </c>
    </row>
    <row r="811" spans="1:14">
      <c r="A811" s="184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197">
        <v>0.01</v>
      </c>
      <c r="I811">
        <f t="shared" si="102"/>
        <v>796</v>
      </c>
      <c r="J811" s="190">
        <v>0.01</v>
      </c>
      <c r="K811">
        <f t="shared" si="101"/>
        <v>708</v>
      </c>
      <c r="L811" s="62">
        <f t="shared" si="103"/>
        <v>803</v>
      </c>
      <c r="M811" s="287">
        <v>0.79</v>
      </c>
      <c r="N811" s="284">
        <f>VLOOKUP(8087,季財報!A:N,8,0)</f>
        <v>2</v>
      </c>
    </row>
    <row r="812" spans="1:14">
      <c r="A812" s="184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197">
        <v>0.01</v>
      </c>
      <c r="I812">
        <f t="shared" si="102"/>
        <v>796</v>
      </c>
      <c r="J812" s="190">
        <v>0.01</v>
      </c>
      <c r="K812">
        <f t="shared" si="101"/>
        <v>708</v>
      </c>
      <c r="L812" s="62">
        <f t="shared" si="103"/>
        <v>803</v>
      </c>
      <c r="M812" s="287">
        <v>0.79</v>
      </c>
      <c r="N812" s="284">
        <f>VLOOKUP(8401,季財報!A:N,8,0)</f>
        <v>1</v>
      </c>
    </row>
    <row r="813" spans="1:14">
      <c r="A813" s="184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197">
        <v>0.01</v>
      </c>
      <c r="I813">
        <f t="shared" si="102"/>
        <v>796</v>
      </c>
      <c r="J813" s="190">
        <v>0.01</v>
      </c>
      <c r="K813">
        <f t="shared" si="101"/>
        <v>708</v>
      </c>
      <c r="L813" s="62">
        <f t="shared" si="103"/>
        <v>803</v>
      </c>
      <c r="M813" s="287">
        <v>0.79</v>
      </c>
      <c r="N813" s="284">
        <f>VLOOKUP(8443,季財報!A:N,8,0)</f>
        <v>1</v>
      </c>
    </row>
    <row r="814" spans="1:14">
      <c r="A814" s="184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197">
        <v>0.01</v>
      </c>
      <c r="I814">
        <f t="shared" si="102"/>
        <v>796</v>
      </c>
      <c r="J814" s="190">
        <v>0.01</v>
      </c>
      <c r="K814">
        <f t="shared" si="101"/>
        <v>708</v>
      </c>
      <c r="L814" s="62">
        <f t="shared" si="103"/>
        <v>803</v>
      </c>
      <c r="M814" s="287">
        <v>0.79</v>
      </c>
      <c r="N814" s="284">
        <f>VLOOKUP(6173,季財報!A:N,8,0)</f>
        <v>1</v>
      </c>
    </row>
    <row r="815" spans="1:14">
      <c r="A815" s="184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197">
        <v>0.01</v>
      </c>
      <c r="I815">
        <f t="shared" si="102"/>
        <v>796</v>
      </c>
      <c r="J815" s="190">
        <v>0.01</v>
      </c>
      <c r="K815">
        <f t="shared" si="101"/>
        <v>708</v>
      </c>
      <c r="L815" s="62">
        <f t="shared" si="103"/>
        <v>803</v>
      </c>
      <c r="M815" s="287">
        <v>0.79</v>
      </c>
      <c r="N815" s="284">
        <f>VLOOKUP(6244,季財報!A:N,8,0)</f>
        <v>3</v>
      </c>
    </row>
    <row r="816" spans="1:14">
      <c r="A816" s="184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197">
        <v>0.01</v>
      </c>
      <c r="I816">
        <f t="shared" si="102"/>
        <v>796</v>
      </c>
      <c r="J816" s="190">
        <v>0.01</v>
      </c>
      <c r="K816">
        <f t="shared" si="101"/>
        <v>708</v>
      </c>
      <c r="L816" s="62">
        <f t="shared" si="103"/>
        <v>803</v>
      </c>
      <c r="M816" s="287">
        <v>7.95</v>
      </c>
      <c r="N816" s="284">
        <f>VLOOKUP(6405,季財報!A:N,8,0)</f>
        <v>2</v>
      </c>
    </row>
    <row r="817" spans="1:14">
      <c r="A817" s="184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197">
        <v>0.01</v>
      </c>
      <c r="I817">
        <f t="shared" si="102"/>
        <v>796</v>
      </c>
      <c r="J817" s="190">
        <v>0.01</v>
      </c>
      <c r="K817">
        <f t="shared" si="101"/>
        <v>708</v>
      </c>
      <c r="L817" s="62">
        <f t="shared" si="103"/>
        <v>803</v>
      </c>
      <c r="M817" s="287">
        <v>2.29</v>
      </c>
      <c r="N817" s="284">
        <f>VLOOKUP(8043,季財報!A:N,8,0)</f>
        <v>3</v>
      </c>
    </row>
    <row r="818" spans="1:14">
      <c r="A818" s="184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197">
        <v>0.01</v>
      </c>
      <c r="I818">
        <f t="shared" si="102"/>
        <v>796</v>
      </c>
      <c r="J818" s="190">
        <v>0.01</v>
      </c>
      <c r="K818">
        <f t="shared" si="101"/>
        <v>708</v>
      </c>
      <c r="L818" s="62">
        <f t="shared" si="103"/>
        <v>803</v>
      </c>
      <c r="M818" s="287">
        <v>0.79</v>
      </c>
      <c r="N818" s="284">
        <f>VLOOKUP(8093,季財報!A:N,8,0)</f>
        <v>5</v>
      </c>
    </row>
    <row r="819" spans="1:14">
      <c r="A819" s="184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197">
        <v>0.01</v>
      </c>
      <c r="I819">
        <f t="shared" si="102"/>
        <v>796</v>
      </c>
      <c r="J819" s="190">
        <v>0.01</v>
      </c>
      <c r="K819">
        <f t="shared" si="101"/>
        <v>708</v>
      </c>
      <c r="L819" s="62">
        <f t="shared" si="103"/>
        <v>803</v>
      </c>
      <c r="M819" s="287">
        <v>0.79</v>
      </c>
      <c r="N819" s="284">
        <f>VLOOKUP(8105,季財報!A:N,8,0)</f>
        <v>3</v>
      </c>
    </row>
    <row r="820" spans="1:14">
      <c r="A820" s="184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197">
        <v>0.01</v>
      </c>
      <c r="I820">
        <f t="shared" si="102"/>
        <v>796</v>
      </c>
      <c r="J820" s="190">
        <v>0.01</v>
      </c>
      <c r="K820">
        <f t="shared" si="101"/>
        <v>708</v>
      </c>
      <c r="L820" s="62">
        <f t="shared" si="103"/>
        <v>803</v>
      </c>
      <c r="M820" s="287">
        <v>0.79</v>
      </c>
      <c r="N820" s="284">
        <f>VLOOKUP(6182,季財報!A:N,8,0)</f>
        <v>3</v>
      </c>
    </row>
    <row r="821" spans="1:14">
      <c r="A821" s="184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197">
        <v>0.01</v>
      </c>
      <c r="I821">
        <f t="shared" si="102"/>
        <v>796</v>
      </c>
      <c r="J821" s="190">
        <v>0.01</v>
      </c>
      <c r="K821">
        <f t="shared" si="101"/>
        <v>708</v>
      </c>
      <c r="L821" s="62">
        <f t="shared" si="103"/>
        <v>803</v>
      </c>
      <c r="M821" s="287">
        <v>0.79</v>
      </c>
      <c r="N821" s="284">
        <f>VLOOKUP(6197,季財報!A:N,8,0)</f>
        <v>5</v>
      </c>
    </row>
    <row r="822" spans="1:14">
      <c r="A822" s="184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197">
        <v>0.01</v>
      </c>
      <c r="I822">
        <f t="shared" si="102"/>
        <v>796</v>
      </c>
      <c r="J822" s="190">
        <v>0.01</v>
      </c>
      <c r="K822">
        <f t="shared" si="101"/>
        <v>708</v>
      </c>
      <c r="L822" s="62">
        <f t="shared" si="103"/>
        <v>803</v>
      </c>
      <c r="M822" s="287">
        <v>1.36</v>
      </c>
      <c r="N822" s="284">
        <f>VLOOKUP(6204,季財報!A:N,8,0)</f>
        <v>2</v>
      </c>
    </row>
    <row r="823" spans="1:14">
      <c r="A823" s="184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197">
        <v>0.01</v>
      </c>
      <c r="I823">
        <f t="shared" si="102"/>
        <v>796</v>
      </c>
      <c r="J823" s="190">
        <v>0.01</v>
      </c>
      <c r="K823">
        <f t="shared" si="101"/>
        <v>708</v>
      </c>
      <c r="L823" s="62">
        <f t="shared" si="103"/>
        <v>803</v>
      </c>
      <c r="M823" s="287">
        <v>0.79</v>
      </c>
      <c r="N823" s="284">
        <f>VLOOKUP(6214,季財報!A:N,8,0)</f>
        <v>1</v>
      </c>
    </row>
    <row r="824" spans="1:14">
      <c r="A824" s="184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197">
        <v>0.01</v>
      </c>
      <c r="I824">
        <f t="shared" si="102"/>
        <v>796</v>
      </c>
      <c r="J824" s="190">
        <v>0.01</v>
      </c>
      <c r="K824">
        <f t="shared" si="101"/>
        <v>708</v>
      </c>
      <c r="L824" s="62">
        <f t="shared" si="103"/>
        <v>803</v>
      </c>
      <c r="M824" s="287">
        <v>4.05</v>
      </c>
      <c r="N824" s="284">
        <f>VLOOKUP(6226,季財報!A:N,8,0)</f>
        <v>2</v>
      </c>
    </row>
    <row r="825" spans="1:14">
      <c r="A825" s="184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197">
        <v>0.01</v>
      </c>
      <c r="I825">
        <f t="shared" si="102"/>
        <v>796</v>
      </c>
      <c r="J825" s="190">
        <v>0.01</v>
      </c>
      <c r="K825">
        <f t="shared" si="101"/>
        <v>708</v>
      </c>
      <c r="L825" s="62">
        <f t="shared" si="103"/>
        <v>803</v>
      </c>
      <c r="M825" s="287">
        <v>2.52</v>
      </c>
      <c r="N825" s="284">
        <f>VLOOKUP(5011,季財報!A:N,8,0)</f>
        <v>3</v>
      </c>
    </row>
    <row r="826" spans="1:14">
      <c r="A826" s="184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197">
        <v>0.01</v>
      </c>
      <c r="I826">
        <f t="shared" si="102"/>
        <v>796</v>
      </c>
      <c r="J826" s="190">
        <v>0.01</v>
      </c>
      <c r="K826">
        <f t="shared" si="101"/>
        <v>708</v>
      </c>
      <c r="L826" s="62">
        <f t="shared" si="103"/>
        <v>803</v>
      </c>
      <c r="M826" s="287">
        <v>0.79</v>
      </c>
      <c r="N826" s="284">
        <f>VLOOKUP(5211,季財報!A:N,8,0)</f>
        <v>3</v>
      </c>
    </row>
    <row r="827" spans="1:14">
      <c r="A827" s="184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197">
        <v>0.01</v>
      </c>
      <c r="I827">
        <f t="shared" si="102"/>
        <v>796</v>
      </c>
      <c r="J827" s="190">
        <v>0.01</v>
      </c>
      <c r="K827">
        <f t="shared" si="101"/>
        <v>708</v>
      </c>
      <c r="L827" s="62">
        <f t="shared" si="103"/>
        <v>803</v>
      </c>
      <c r="M827" s="287">
        <v>3.37</v>
      </c>
      <c r="N827" s="284">
        <f>VLOOKUP(5317,季財報!A:N,8,0)</f>
        <v>2</v>
      </c>
    </row>
    <row r="828" spans="1:14">
      <c r="A828" s="184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197">
        <v>0.01</v>
      </c>
      <c r="I828">
        <f t="shared" si="102"/>
        <v>796</v>
      </c>
      <c r="J828" s="190">
        <v>0.01</v>
      </c>
      <c r="K828">
        <f t="shared" si="101"/>
        <v>708</v>
      </c>
      <c r="L828" s="62">
        <f t="shared" si="103"/>
        <v>803</v>
      </c>
      <c r="M828" s="287">
        <v>1.01</v>
      </c>
      <c r="N828" s="284">
        <f>VLOOKUP(5469,季財報!A:N,8,0)</f>
        <v>1</v>
      </c>
    </row>
    <row r="829" spans="1:14">
      <c r="A829" s="184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197">
        <v>0.01</v>
      </c>
      <c r="I829">
        <f t="shared" si="102"/>
        <v>796</v>
      </c>
      <c r="J829" s="190">
        <v>0.01</v>
      </c>
      <c r="K829">
        <f t="shared" si="101"/>
        <v>708</v>
      </c>
      <c r="L829" s="62">
        <f t="shared" si="103"/>
        <v>803</v>
      </c>
      <c r="M829" s="287">
        <v>1.36</v>
      </c>
      <c r="N829" s="284">
        <f>VLOOKUP(5487,季財報!A:N,8,0)</f>
        <v>2</v>
      </c>
    </row>
    <row r="830" spans="1:14">
      <c r="A830" s="184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197">
        <v>0.01</v>
      </c>
      <c r="I830">
        <f t="shared" si="102"/>
        <v>796</v>
      </c>
      <c r="J830" s="190">
        <v>0.01</v>
      </c>
      <c r="K830">
        <f t="shared" si="101"/>
        <v>708</v>
      </c>
      <c r="L830" s="62">
        <f t="shared" si="103"/>
        <v>803</v>
      </c>
      <c r="M830" s="287">
        <v>1.01</v>
      </c>
      <c r="N830" s="284">
        <f>VLOOKUP(5609,季財報!A:N,8,0)</f>
        <v>1</v>
      </c>
    </row>
    <row r="831" spans="1:14">
      <c r="A831" s="184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197">
        <v>0.01</v>
      </c>
      <c r="I831">
        <f t="shared" si="102"/>
        <v>796</v>
      </c>
      <c r="J831" s="190">
        <v>0.01</v>
      </c>
      <c r="K831">
        <f t="shared" si="101"/>
        <v>708</v>
      </c>
      <c r="L831" s="62">
        <f t="shared" si="103"/>
        <v>803</v>
      </c>
      <c r="M831" s="287">
        <v>1.01</v>
      </c>
      <c r="N831" s="284">
        <f>VLOOKUP(6156,季財報!A:N,8,0)</f>
        <v>2</v>
      </c>
    </row>
    <row r="832" spans="1:14">
      <c r="A832" s="184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197">
        <v>0.01</v>
      </c>
      <c r="I832">
        <f t="shared" si="102"/>
        <v>796</v>
      </c>
      <c r="J832" s="190">
        <v>0.01</v>
      </c>
      <c r="K832">
        <f t="shared" si="101"/>
        <v>708</v>
      </c>
      <c r="L832" s="62">
        <f t="shared" si="103"/>
        <v>803</v>
      </c>
      <c r="M832" s="287">
        <v>0.79</v>
      </c>
      <c r="N832" s="284">
        <f>VLOOKUP(6161,季財報!A:N,8,0)</f>
        <v>2</v>
      </c>
    </row>
    <row r="833" spans="1:14">
      <c r="A833" s="184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197">
        <v>0.01</v>
      </c>
      <c r="I833">
        <f t="shared" si="102"/>
        <v>796</v>
      </c>
      <c r="J833" s="190">
        <v>0.01</v>
      </c>
      <c r="K833">
        <f t="shared" si="101"/>
        <v>708</v>
      </c>
      <c r="L833" s="62">
        <f t="shared" si="103"/>
        <v>803</v>
      </c>
      <c r="M833" s="287">
        <v>0.79</v>
      </c>
      <c r="N833" s="284">
        <f>VLOOKUP(4526,季財報!A:N,8,0)</f>
        <v>2</v>
      </c>
    </row>
    <row r="834" spans="1:14">
      <c r="A834" s="184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197">
        <v>0.01</v>
      </c>
      <c r="I834">
        <f t="shared" si="102"/>
        <v>796</v>
      </c>
      <c r="J834" s="190">
        <v>0.01</v>
      </c>
      <c r="K834">
        <f t="shared" si="101"/>
        <v>708</v>
      </c>
      <c r="L834" s="62">
        <f t="shared" si="103"/>
        <v>803</v>
      </c>
      <c r="M834" s="287">
        <v>0.79</v>
      </c>
      <c r="N834" s="284">
        <f>VLOOKUP(4533,季財報!A:N,8,0)</f>
        <v>1</v>
      </c>
    </row>
    <row r="835" spans="1:14">
      <c r="A835" s="184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197">
        <v>0.01</v>
      </c>
      <c r="I835">
        <f t="shared" si="102"/>
        <v>796</v>
      </c>
      <c r="J835" s="190">
        <v>0.01</v>
      </c>
      <c r="K835">
        <f t="shared" si="101"/>
        <v>708</v>
      </c>
      <c r="L835" s="62">
        <f t="shared" si="103"/>
        <v>803</v>
      </c>
      <c r="M835" s="287">
        <v>0.79</v>
      </c>
      <c r="N835" s="284">
        <f>VLOOKUP(4534,季財報!A:N,8,0)</f>
        <v>4</v>
      </c>
    </row>
    <row r="836" spans="1:14">
      <c r="A836" s="184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197">
        <v>0.01</v>
      </c>
      <c r="I836">
        <f t="shared" ref="I836:I867" si="104">RANK(0.01,H:H,0)</f>
        <v>796</v>
      </c>
      <c r="J836" s="190">
        <v>0.01</v>
      </c>
      <c r="K836">
        <f t="shared" si="101"/>
        <v>708</v>
      </c>
      <c r="L836" s="62">
        <f t="shared" ref="L836:L867" si="105">RANK(1.01,M:M,0)</f>
        <v>803</v>
      </c>
      <c r="M836" s="287">
        <v>0.79</v>
      </c>
      <c r="N836" s="284">
        <f>VLOOKUP(4965,季財報!A:N,8,0)</f>
        <v>3</v>
      </c>
    </row>
    <row r="837" spans="1:14">
      <c r="A837" s="184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197">
        <v>0.01</v>
      </c>
      <c r="I837">
        <f t="shared" si="104"/>
        <v>796</v>
      </c>
      <c r="J837" s="190">
        <v>0.01</v>
      </c>
      <c r="K837">
        <f t="shared" si="101"/>
        <v>708</v>
      </c>
      <c r="L837" s="62">
        <f t="shared" si="105"/>
        <v>803</v>
      </c>
      <c r="M837" s="287">
        <v>0.79</v>
      </c>
      <c r="N837" s="284">
        <f>VLOOKUP(5533,季財報!A:N,8,0)</f>
        <v>1</v>
      </c>
    </row>
    <row r="838" spans="1:14">
      <c r="A838" s="184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197">
        <v>0.01</v>
      </c>
      <c r="I838">
        <f t="shared" si="104"/>
        <v>796</v>
      </c>
      <c r="J838" s="190">
        <v>0.01</v>
      </c>
      <c r="K838">
        <f t="shared" si="101"/>
        <v>708</v>
      </c>
      <c r="L838" s="62">
        <f t="shared" si="105"/>
        <v>803</v>
      </c>
      <c r="M838" s="287">
        <v>1.9</v>
      </c>
      <c r="N838" s="284">
        <f>VLOOKUP(1219,季財報!A:N,8,0)</f>
        <v>2</v>
      </c>
    </row>
    <row r="839" spans="1:14">
      <c r="A839" s="184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197">
        <v>0.01</v>
      </c>
      <c r="I839">
        <f t="shared" si="104"/>
        <v>796</v>
      </c>
      <c r="J839" s="190">
        <v>0.01</v>
      </c>
      <c r="K839">
        <f t="shared" si="101"/>
        <v>708</v>
      </c>
      <c r="L839" s="62">
        <f t="shared" si="105"/>
        <v>803</v>
      </c>
      <c r="M839" s="287">
        <v>0.79</v>
      </c>
      <c r="N839" s="284">
        <f>VLOOKUP(1303,季財報!A:N,8,0)</f>
        <v>2</v>
      </c>
    </row>
    <row r="840" spans="1:14">
      <c r="A840" s="184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197">
        <v>0.01</v>
      </c>
      <c r="I840">
        <f t="shared" si="104"/>
        <v>796</v>
      </c>
      <c r="J840" s="190">
        <v>0.01</v>
      </c>
      <c r="K840">
        <f t="shared" si="101"/>
        <v>708</v>
      </c>
      <c r="L840" s="62">
        <f t="shared" si="105"/>
        <v>803</v>
      </c>
      <c r="M840" s="287">
        <v>0.79</v>
      </c>
      <c r="N840" s="284">
        <f>VLOOKUP(1305,季財報!A:N,8,0)</f>
        <v>2</v>
      </c>
    </row>
    <row r="841" spans="1:14">
      <c r="A841" s="184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197">
        <v>0.01</v>
      </c>
      <c r="I841">
        <f t="shared" si="104"/>
        <v>796</v>
      </c>
      <c r="J841" s="190">
        <v>0.01</v>
      </c>
      <c r="K841">
        <f t="shared" si="101"/>
        <v>708</v>
      </c>
      <c r="L841" s="62">
        <f t="shared" si="105"/>
        <v>803</v>
      </c>
      <c r="M841" s="287">
        <v>1.29</v>
      </c>
      <c r="N841" s="284">
        <f>VLOOKUP(1326,季財報!A:N,8,0)</f>
        <v>2</v>
      </c>
    </row>
    <row r="842" spans="1:14">
      <c r="A842" s="184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197">
        <v>0.01</v>
      </c>
      <c r="I842">
        <f t="shared" si="104"/>
        <v>796</v>
      </c>
      <c r="J842" s="190">
        <v>0.01</v>
      </c>
      <c r="K842">
        <f t="shared" si="101"/>
        <v>708</v>
      </c>
      <c r="L842" s="62">
        <f t="shared" si="105"/>
        <v>803</v>
      </c>
      <c r="M842" s="287">
        <v>0.79</v>
      </c>
      <c r="N842" s="284">
        <f>VLOOKUP(1440,季財報!A:N,8,0)</f>
        <v>1</v>
      </c>
    </row>
    <row r="843" spans="1:14">
      <c r="A843" s="184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197">
        <v>0.01</v>
      </c>
      <c r="I843">
        <f t="shared" si="104"/>
        <v>796</v>
      </c>
      <c r="J843" s="190">
        <v>0.01</v>
      </c>
      <c r="K843">
        <f t="shared" si="101"/>
        <v>708</v>
      </c>
      <c r="L843" s="62">
        <f t="shared" si="105"/>
        <v>803</v>
      </c>
      <c r="M843" s="287">
        <v>0.79</v>
      </c>
      <c r="N843" s="284">
        <f>VLOOKUP(1442,季財報!A:N,8,0)</f>
        <v>0</v>
      </c>
    </row>
    <row r="844" spans="1:14">
      <c r="A844" s="184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197">
        <v>0.01</v>
      </c>
      <c r="I844">
        <f t="shared" si="104"/>
        <v>796</v>
      </c>
      <c r="J844" s="190">
        <v>0.01</v>
      </c>
      <c r="K844">
        <f t="shared" si="101"/>
        <v>708</v>
      </c>
      <c r="L844" s="62">
        <f t="shared" si="105"/>
        <v>803</v>
      </c>
      <c r="M844" s="287">
        <v>0.79</v>
      </c>
      <c r="N844" s="284">
        <f>VLOOKUP(1454,季財報!A:N,8,0)</f>
        <v>1</v>
      </c>
    </row>
    <row r="845" spans="1:14">
      <c r="A845" s="184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197">
        <v>0.01</v>
      </c>
      <c r="I845">
        <f t="shared" si="104"/>
        <v>796</v>
      </c>
      <c r="J845" s="190">
        <v>0.01</v>
      </c>
      <c r="K845">
        <f t="shared" si="101"/>
        <v>708</v>
      </c>
      <c r="L845" s="62">
        <f t="shared" si="105"/>
        <v>803</v>
      </c>
      <c r="M845" s="287">
        <v>0.79</v>
      </c>
      <c r="N845" s="284">
        <f>VLOOKUP(1459,季財報!A:N,8,0)</f>
        <v>1</v>
      </c>
    </row>
    <row r="846" spans="1:14">
      <c r="A846" s="184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197">
        <v>0.01</v>
      </c>
      <c r="I846">
        <f t="shared" si="104"/>
        <v>796</v>
      </c>
      <c r="J846" s="190">
        <v>0.01</v>
      </c>
      <c r="K846">
        <f t="shared" si="101"/>
        <v>708</v>
      </c>
      <c r="L846" s="62">
        <f t="shared" si="105"/>
        <v>803</v>
      </c>
      <c r="M846" s="287">
        <v>0.79</v>
      </c>
      <c r="N846" s="284">
        <f>VLOOKUP(1465,季財報!A:N,8,0)</f>
        <v>3</v>
      </c>
    </row>
    <row r="847" spans="1:14">
      <c r="A847" s="184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197">
        <v>0.01</v>
      </c>
      <c r="I847">
        <f t="shared" si="104"/>
        <v>796</v>
      </c>
      <c r="J847" s="190">
        <v>0.01</v>
      </c>
      <c r="K847">
        <f t="shared" si="101"/>
        <v>708</v>
      </c>
      <c r="L847" s="62">
        <f t="shared" si="105"/>
        <v>803</v>
      </c>
      <c r="M847" s="287">
        <v>1.29</v>
      </c>
      <c r="N847" s="284">
        <f>VLOOKUP(1519,季財報!A:N,8,0)</f>
        <v>0</v>
      </c>
    </row>
    <row r="848" spans="1:14">
      <c r="A848" s="184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197">
        <v>0.01</v>
      </c>
      <c r="I848">
        <f t="shared" si="104"/>
        <v>796</v>
      </c>
      <c r="J848" s="190">
        <v>0.01</v>
      </c>
      <c r="K848">
        <f t="shared" si="101"/>
        <v>708</v>
      </c>
      <c r="L848" s="62">
        <f t="shared" si="105"/>
        <v>803</v>
      </c>
      <c r="M848" s="287">
        <v>0.79</v>
      </c>
      <c r="N848" s="284">
        <f>VLOOKUP(1566,季財報!A:N,8,0)</f>
        <v>3</v>
      </c>
    </row>
    <row r="849" spans="1:14">
      <c r="A849" s="184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197">
        <v>0.01</v>
      </c>
      <c r="I849">
        <f t="shared" si="104"/>
        <v>796</v>
      </c>
      <c r="J849" s="190">
        <v>0.01</v>
      </c>
      <c r="K849">
        <f t="shared" si="101"/>
        <v>708</v>
      </c>
      <c r="L849" s="62">
        <f t="shared" si="105"/>
        <v>803</v>
      </c>
      <c r="M849" s="287">
        <v>0.79</v>
      </c>
      <c r="N849" s="284">
        <f>VLOOKUP(1604,季財報!A:N,8,0)</f>
        <v>1</v>
      </c>
    </row>
    <row r="850" spans="1:14">
      <c r="A850" s="184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197">
        <v>0.01</v>
      </c>
      <c r="I850">
        <f t="shared" si="104"/>
        <v>796</v>
      </c>
      <c r="J850" s="190">
        <v>0.01</v>
      </c>
      <c r="K850">
        <f t="shared" si="101"/>
        <v>708</v>
      </c>
      <c r="L850" s="62">
        <f t="shared" si="105"/>
        <v>803</v>
      </c>
      <c r="M850" s="287">
        <v>3.44</v>
      </c>
      <c r="N850" s="284">
        <f>VLOOKUP(1605,季財報!A:N,8,0)</f>
        <v>1</v>
      </c>
    </row>
    <row r="851" spans="1:14">
      <c r="A851" s="184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197">
        <v>0.01</v>
      </c>
      <c r="I851">
        <f t="shared" si="104"/>
        <v>796</v>
      </c>
      <c r="J851" s="190">
        <v>0.01</v>
      </c>
      <c r="K851">
        <f t="shared" si="101"/>
        <v>708</v>
      </c>
      <c r="L851" s="62">
        <f t="shared" si="105"/>
        <v>803</v>
      </c>
      <c r="M851" s="287">
        <v>3.37</v>
      </c>
      <c r="N851" s="284">
        <f>VLOOKUP(1701,季財報!A:N,8,0)</f>
        <v>3</v>
      </c>
    </row>
    <row r="852" spans="1:14">
      <c r="A852" s="184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197">
        <v>0.01</v>
      </c>
      <c r="I852">
        <f t="shared" si="104"/>
        <v>796</v>
      </c>
      <c r="J852" s="190">
        <v>0.01</v>
      </c>
      <c r="K852">
        <f t="shared" si="101"/>
        <v>708</v>
      </c>
      <c r="L852" s="62">
        <f t="shared" si="105"/>
        <v>803</v>
      </c>
      <c r="M852" s="287">
        <v>0.79</v>
      </c>
      <c r="N852" s="284">
        <f>VLOOKUP(1714,季財報!A:N,8,0)</f>
        <v>1</v>
      </c>
    </row>
    <row r="853" spans="1:14">
      <c r="A853" s="184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197">
        <v>0.01</v>
      </c>
      <c r="I853">
        <f t="shared" si="104"/>
        <v>796</v>
      </c>
      <c r="J853" s="190">
        <v>0.01</v>
      </c>
      <c r="K853">
        <f t="shared" si="101"/>
        <v>708</v>
      </c>
      <c r="L853" s="62">
        <f t="shared" si="105"/>
        <v>803</v>
      </c>
      <c r="M853" s="287">
        <v>12.98</v>
      </c>
      <c r="N853" s="284">
        <f>VLOOKUP(1762,季財報!A:N,8,0)</f>
        <v>2</v>
      </c>
    </row>
    <row r="854" spans="1:14">
      <c r="A854" s="184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197">
        <v>0.01</v>
      </c>
      <c r="I854">
        <f t="shared" si="104"/>
        <v>796</v>
      </c>
      <c r="J854" s="190">
        <v>0.01</v>
      </c>
      <c r="K854">
        <f t="shared" si="101"/>
        <v>708</v>
      </c>
      <c r="L854" s="62">
        <f t="shared" si="105"/>
        <v>803</v>
      </c>
      <c r="M854" s="287">
        <v>1.58</v>
      </c>
      <c r="N854" s="284">
        <f>VLOOKUP(2006,季財報!A:N,8,0)</f>
        <v>1</v>
      </c>
    </row>
    <row r="855" spans="1:14">
      <c r="A855" s="184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197">
        <v>0.01</v>
      </c>
      <c r="I855">
        <f t="shared" si="104"/>
        <v>796</v>
      </c>
      <c r="J855" s="190">
        <v>0.01</v>
      </c>
      <c r="K855">
        <f t="shared" si="101"/>
        <v>708</v>
      </c>
      <c r="L855" s="62">
        <f t="shared" si="105"/>
        <v>803</v>
      </c>
      <c r="M855" s="287">
        <v>0.79</v>
      </c>
      <c r="N855" s="284">
        <f>VLOOKUP(2023,季財報!A:N,8,0)</f>
        <v>0</v>
      </c>
    </row>
    <row r="856" spans="1:14">
      <c r="A856" s="184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197">
        <v>0.01</v>
      </c>
      <c r="I856">
        <f t="shared" si="104"/>
        <v>796</v>
      </c>
      <c r="J856" s="190">
        <v>0.01</v>
      </c>
      <c r="K856">
        <f t="shared" si="101"/>
        <v>708</v>
      </c>
      <c r="L856" s="62">
        <f t="shared" si="105"/>
        <v>803</v>
      </c>
      <c r="M856" s="287">
        <v>0.79</v>
      </c>
      <c r="N856" s="284">
        <f>VLOOKUP(2024,季財報!A:N,8,0)</f>
        <v>2</v>
      </c>
    </row>
    <row r="857" spans="1:14">
      <c r="A857" s="184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197">
        <v>0.01</v>
      </c>
      <c r="I857">
        <f t="shared" si="104"/>
        <v>796</v>
      </c>
      <c r="J857" s="190">
        <v>0.01</v>
      </c>
      <c r="K857">
        <f t="shared" si="101"/>
        <v>708</v>
      </c>
      <c r="L857" s="62">
        <f t="shared" si="105"/>
        <v>803</v>
      </c>
      <c r="M857" s="287">
        <v>0.79</v>
      </c>
      <c r="N857" s="284">
        <f>VLOOKUP(2359,季財報!A:N,8,0)</f>
        <v>2</v>
      </c>
    </row>
    <row r="858" spans="1:14">
      <c r="A858" s="184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197">
        <v>0.01</v>
      </c>
      <c r="I858">
        <f t="shared" si="104"/>
        <v>796</v>
      </c>
      <c r="J858" s="190">
        <v>0.01</v>
      </c>
      <c r="K858">
        <f t="shared" si="101"/>
        <v>708</v>
      </c>
      <c r="L858" s="62">
        <f t="shared" si="105"/>
        <v>803</v>
      </c>
      <c r="M858" s="287">
        <v>0.79</v>
      </c>
      <c r="N858" s="284">
        <f>VLOOKUP(2375,季財報!A:N,8,0)</f>
        <v>1</v>
      </c>
    </row>
    <row r="859" spans="1:14">
      <c r="A859" s="184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197">
        <v>0.01</v>
      </c>
      <c r="I859">
        <f t="shared" si="104"/>
        <v>796</v>
      </c>
      <c r="J859" s="190">
        <v>0.01</v>
      </c>
      <c r="K859">
        <f t="shared" si="101"/>
        <v>708</v>
      </c>
      <c r="L859" s="62">
        <f t="shared" si="105"/>
        <v>803</v>
      </c>
      <c r="M859" s="287">
        <v>0.79</v>
      </c>
      <c r="N859" s="284">
        <f>VLOOKUP(2379,季財報!A:N,8,0)</f>
        <v>2</v>
      </c>
    </row>
    <row r="860" spans="1:14">
      <c r="A860" s="184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197">
        <v>0.01</v>
      </c>
      <c r="I860">
        <f t="shared" si="104"/>
        <v>796</v>
      </c>
      <c r="J860" s="190">
        <v>0.01</v>
      </c>
      <c r="K860">
        <f t="shared" si="101"/>
        <v>708</v>
      </c>
      <c r="L860" s="62">
        <f t="shared" si="105"/>
        <v>803</v>
      </c>
      <c r="M860" s="287">
        <v>2.69</v>
      </c>
      <c r="N860" s="284">
        <f>VLOOKUP(2453,季財報!A:N,8,0)</f>
        <v>3</v>
      </c>
    </row>
    <row r="861" spans="1:14">
      <c r="A861" s="184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197">
        <v>0.01</v>
      </c>
      <c r="I861">
        <f t="shared" si="104"/>
        <v>796</v>
      </c>
      <c r="J861" s="190">
        <v>0.01</v>
      </c>
      <c r="K861">
        <f t="shared" si="101"/>
        <v>708</v>
      </c>
      <c r="L861" s="62">
        <f t="shared" si="105"/>
        <v>803</v>
      </c>
      <c r="M861" s="287">
        <v>0.79</v>
      </c>
      <c r="N861" s="284">
        <f>VLOOKUP(2468,季財報!A:N,8,0)</f>
        <v>2</v>
      </c>
    </row>
    <row r="862" spans="1:14">
      <c r="A862" s="184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197">
        <v>0.01</v>
      </c>
      <c r="I862">
        <f t="shared" si="104"/>
        <v>796</v>
      </c>
      <c r="J862" s="190">
        <v>0.01</v>
      </c>
      <c r="K862">
        <f t="shared" si="101"/>
        <v>708</v>
      </c>
      <c r="L862" s="62">
        <f t="shared" si="105"/>
        <v>803</v>
      </c>
      <c r="M862" s="287">
        <v>0.79</v>
      </c>
      <c r="N862" s="284">
        <f>VLOOKUP(2478,季財報!A:N,8,0)</f>
        <v>2</v>
      </c>
    </row>
    <row r="863" spans="1:14">
      <c r="A863" s="184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197">
        <v>0.01</v>
      </c>
      <c r="I863">
        <f t="shared" si="104"/>
        <v>796</v>
      </c>
      <c r="J863" s="190">
        <v>0.01</v>
      </c>
      <c r="K863">
        <f t="shared" si="101"/>
        <v>708</v>
      </c>
      <c r="L863" s="62">
        <f t="shared" si="105"/>
        <v>803</v>
      </c>
      <c r="M863" s="287">
        <v>0.79</v>
      </c>
      <c r="N863" s="284">
        <f>VLOOKUP(2483,季財報!A:N,8,0)</f>
        <v>2</v>
      </c>
    </row>
    <row r="864" spans="1:14">
      <c r="A864" s="184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197">
        <v>0.01</v>
      </c>
      <c r="I864">
        <f t="shared" si="104"/>
        <v>796</v>
      </c>
      <c r="J864" s="190">
        <v>0.01</v>
      </c>
      <c r="K864">
        <f t="shared" si="101"/>
        <v>708</v>
      </c>
      <c r="L864" s="62">
        <f t="shared" si="105"/>
        <v>803</v>
      </c>
      <c r="M864" s="287">
        <v>2.69</v>
      </c>
      <c r="N864" s="284">
        <f>VLOOKUP(2495,季財報!A:N,8,0)</f>
        <v>3</v>
      </c>
    </row>
    <row r="865" spans="1:14">
      <c r="A865" s="184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197">
        <v>0.01</v>
      </c>
      <c r="I865">
        <f t="shared" si="104"/>
        <v>796</v>
      </c>
      <c r="J865" s="190">
        <v>0.01</v>
      </c>
      <c r="K865">
        <f t="shared" si="101"/>
        <v>708</v>
      </c>
      <c r="L865" s="62">
        <f t="shared" si="105"/>
        <v>803</v>
      </c>
      <c r="M865" s="287">
        <v>0.79</v>
      </c>
      <c r="N865" s="284">
        <f>VLOOKUP(2511,季財報!A:N,8,0)</f>
        <v>0</v>
      </c>
    </row>
    <row r="866" spans="1:14">
      <c r="A866" s="184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197">
        <v>0.01</v>
      </c>
      <c r="I866">
        <f t="shared" si="104"/>
        <v>796</v>
      </c>
      <c r="J866" s="190">
        <v>0.01</v>
      </c>
      <c r="K866">
        <f t="shared" ref="K866:K929" si="106">RANK(0.01,J:J,0)</f>
        <v>708</v>
      </c>
      <c r="L866" s="62">
        <f t="shared" si="105"/>
        <v>803</v>
      </c>
      <c r="M866" s="287">
        <v>0.79</v>
      </c>
      <c r="N866" s="284">
        <f>VLOOKUP(2516,季財報!A:N,8,0)</f>
        <v>1</v>
      </c>
    </row>
    <row r="867" spans="1:14">
      <c r="A867" s="184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197">
        <v>0.01</v>
      </c>
      <c r="I867">
        <f t="shared" si="104"/>
        <v>796</v>
      </c>
      <c r="J867" s="190">
        <v>0.01</v>
      </c>
      <c r="K867">
        <f t="shared" si="106"/>
        <v>708</v>
      </c>
      <c r="L867" s="62">
        <f t="shared" si="105"/>
        <v>803</v>
      </c>
      <c r="M867" s="287">
        <v>0.79</v>
      </c>
      <c r="N867" s="284">
        <f>VLOOKUP(2520,季財報!A:N,8,0)</f>
        <v>3</v>
      </c>
    </row>
    <row r="868" spans="1:14">
      <c r="A868" s="184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197">
        <v>0.01</v>
      </c>
      <c r="I868">
        <f t="shared" ref="I868:I899" si="107">RANK(0.01,H:H,0)</f>
        <v>796</v>
      </c>
      <c r="J868" s="190">
        <v>0.01</v>
      </c>
      <c r="K868">
        <f t="shared" si="106"/>
        <v>708</v>
      </c>
      <c r="L868" s="62">
        <f t="shared" ref="L868:L899" si="108">RANK(1.01,M:M,0)</f>
        <v>803</v>
      </c>
      <c r="M868" s="287">
        <v>0.79</v>
      </c>
      <c r="N868" s="284">
        <f>VLOOKUP(2597,季財報!A:N,8,0)</f>
        <v>2</v>
      </c>
    </row>
    <row r="869" spans="1:14">
      <c r="A869" s="184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197">
        <v>0.01</v>
      </c>
      <c r="I869">
        <f t="shared" si="107"/>
        <v>796</v>
      </c>
      <c r="J869" s="190">
        <v>0.01</v>
      </c>
      <c r="K869">
        <f t="shared" si="106"/>
        <v>708</v>
      </c>
      <c r="L869" s="62">
        <f t="shared" si="108"/>
        <v>803</v>
      </c>
      <c r="M869" s="287">
        <v>0.79</v>
      </c>
      <c r="N869" s="284">
        <f>VLOOKUP(2607,季財報!A:N,8,0)</f>
        <v>2</v>
      </c>
    </row>
    <row r="870" spans="1:14">
      <c r="A870" s="184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197">
        <v>0.01</v>
      </c>
      <c r="I870">
        <f t="shared" si="107"/>
        <v>796</v>
      </c>
      <c r="J870" s="190">
        <v>0.01</v>
      </c>
      <c r="K870">
        <f t="shared" si="106"/>
        <v>708</v>
      </c>
      <c r="L870" s="62">
        <f t="shared" si="108"/>
        <v>803</v>
      </c>
      <c r="M870" s="287">
        <v>0.79</v>
      </c>
      <c r="N870" s="284">
        <f>VLOOKUP(2612,季財報!A:N,8,0)</f>
        <v>4</v>
      </c>
    </row>
    <row r="871" spans="1:14">
      <c r="A871" s="184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197">
        <v>0.01</v>
      </c>
      <c r="I871">
        <f t="shared" si="107"/>
        <v>796</v>
      </c>
      <c r="J871" s="190">
        <v>0.01</v>
      </c>
      <c r="K871">
        <f t="shared" si="106"/>
        <v>708</v>
      </c>
      <c r="L871" s="62">
        <f t="shared" si="108"/>
        <v>803</v>
      </c>
      <c r="M871" s="287">
        <v>1.36</v>
      </c>
      <c r="N871" s="284">
        <f>VLOOKUP(2641,季財報!A:N,8,0)</f>
        <v>2</v>
      </c>
    </row>
    <row r="872" spans="1:14">
      <c r="A872" s="184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197">
        <v>0.01</v>
      </c>
      <c r="I872">
        <f t="shared" si="107"/>
        <v>796</v>
      </c>
      <c r="J872" s="190">
        <v>0.01</v>
      </c>
      <c r="K872">
        <f t="shared" si="106"/>
        <v>708</v>
      </c>
      <c r="L872" s="62">
        <f t="shared" si="108"/>
        <v>803</v>
      </c>
      <c r="M872" s="287">
        <v>0.79</v>
      </c>
      <c r="N872" s="284">
        <f>VLOOKUP(2704,季財報!A:N,8,0)</f>
        <v>2</v>
      </c>
    </row>
    <row r="873" spans="1:14">
      <c r="A873" s="184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197">
        <v>0.01</v>
      </c>
      <c r="I873">
        <f t="shared" si="107"/>
        <v>796</v>
      </c>
      <c r="J873" s="190">
        <v>0.01</v>
      </c>
      <c r="K873">
        <f t="shared" si="106"/>
        <v>708</v>
      </c>
      <c r="L873" s="62">
        <f t="shared" si="108"/>
        <v>803</v>
      </c>
      <c r="M873" s="287">
        <v>0.79</v>
      </c>
      <c r="N873" s="284">
        <f>VLOOKUP(2718,季財報!A:N,8,0)</f>
        <v>3</v>
      </c>
    </row>
    <row r="874" spans="1:14">
      <c r="A874" s="184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197">
        <v>0.01</v>
      </c>
      <c r="I874">
        <f t="shared" si="107"/>
        <v>796</v>
      </c>
      <c r="J874" s="190">
        <v>0.01</v>
      </c>
      <c r="K874">
        <f t="shared" si="106"/>
        <v>708</v>
      </c>
      <c r="L874" s="62">
        <f t="shared" si="108"/>
        <v>803</v>
      </c>
      <c r="M874" s="287">
        <v>0.79</v>
      </c>
      <c r="N874" s="284">
        <f>VLOOKUP(2924,季財報!A:N,8,0)</f>
        <v>1</v>
      </c>
    </row>
    <row r="875" spans="1:14">
      <c r="A875" s="184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197">
        <v>0.01</v>
      </c>
      <c r="I875">
        <f t="shared" si="107"/>
        <v>796</v>
      </c>
      <c r="J875" s="190">
        <v>0.01</v>
      </c>
      <c r="K875">
        <f t="shared" si="106"/>
        <v>708</v>
      </c>
      <c r="L875" s="62">
        <f t="shared" si="108"/>
        <v>803</v>
      </c>
      <c r="M875" s="287">
        <v>0.79</v>
      </c>
      <c r="N875" s="284">
        <f>VLOOKUP(3002,季財報!A:N,8,0)</f>
        <v>3</v>
      </c>
    </row>
    <row r="876" spans="1:14">
      <c r="A876" s="184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197">
        <v>0.01</v>
      </c>
      <c r="I876">
        <f t="shared" si="107"/>
        <v>796</v>
      </c>
      <c r="J876" s="190">
        <v>0.01</v>
      </c>
      <c r="K876">
        <f t="shared" si="106"/>
        <v>708</v>
      </c>
      <c r="L876" s="62">
        <f t="shared" si="108"/>
        <v>803</v>
      </c>
      <c r="M876" s="287">
        <v>0.79</v>
      </c>
      <c r="N876" s="284">
        <f>VLOOKUP(3018,季財報!A:N,8,0)</f>
        <v>0</v>
      </c>
    </row>
    <row r="877" spans="1:14">
      <c r="A877" s="184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197">
        <v>0.01</v>
      </c>
      <c r="I877">
        <f t="shared" si="107"/>
        <v>796</v>
      </c>
      <c r="J877" s="190">
        <v>0.01</v>
      </c>
      <c r="K877">
        <f t="shared" si="106"/>
        <v>708</v>
      </c>
      <c r="L877" s="62">
        <f t="shared" si="108"/>
        <v>803</v>
      </c>
      <c r="M877" s="287">
        <v>0.79</v>
      </c>
      <c r="N877" s="284">
        <f>VLOOKUP(3037,季財報!A:N,8,0)</f>
        <v>3</v>
      </c>
    </row>
    <row r="878" spans="1:14">
      <c r="A878" s="184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197">
        <v>0.01</v>
      </c>
      <c r="I878">
        <f t="shared" si="107"/>
        <v>796</v>
      </c>
      <c r="J878" s="190">
        <v>0.01</v>
      </c>
      <c r="K878">
        <f t="shared" si="106"/>
        <v>708</v>
      </c>
      <c r="L878" s="62">
        <f t="shared" si="108"/>
        <v>803</v>
      </c>
      <c r="M878" s="287">
        <v>0.79</v>
      </c>
      <c r="N878" s="284">
        <f>VLOOKUP(3047,季財報!A:N,8,0)</f>
        <v>3</v>
      </c>
    </row>
    <row r="879" spans="1:14">
      <c r="A879" s="184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197">
        <v>0.01</v>
      </c>
      <c r="I879">
        <f t="shared" si="107"/>
        <v>796</v>
      </c>
      <c r="J879" s="190">
        <v>0.01</v>
      </c>
      <c r="K879">
        <f t="shared" si="106"/>
        <v>708</v>
      </c>
      <c r="L879" s="62">
        <f t="shared" si="108"/>
        <v>803</v>
      </c>
      <c r="M879" s="287">
        <v>2.29</v>
      </c>
      <c r="N879" s="284">
        <f>VLOOKUP(3058,季財報!A:N,8,0)</f>
        <v>1</v>
      </c>
    </row>
    <row r="880" spans="1:14">
      <c r="A880" s="184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197">
        <v>0.01</v>
      </c>
      <c r="I880">
        <f t="shared" si="107"/>
        <v>796</v>
      </c>
      <c r="J880" s="190">
        <v>0.01</v>
      </c>
      <c r="K880">
        <f t="shared" si="106"/>
        <v>708</v>
      </c>
      <c r="L880" s="62">
        <f t="shared" si="108"/>
        <v>803</v>
      </c>
      <c r="M880" s="287">
        <v>0.79</v>
      </c>
      <c r="N880" s="284">
        <f>VLOOKUP(3094,季財報!A:N,8,0)</f>
        <v>4</v>
      </c>
    </row>
    <row r="881" spans="1:14">
      <c r="A881" s="184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197">
        <v>0.01</v>
      </c>
      <c r="I881">
        <f t="shared" si="107"/>
        <v>796</v>
      </c>
      <c r="J881" s="190">
        <v>0.01</v>
      </c>
      <c r="K881">
        <f t="shared" si="106"/>
        <v>708</v>
      </c>
      <c r="L881" s="62">
        <f t="shared" si="108"/>
        <v>803</v>
      </c>
      <c r="M881" s="287">
        <v>1.58</v>
      </c>
      <c r="N881" s="284">
        <f>VLOOKUP(3141,季財報!A:N,8,0)</f>
        <v>2</v>
      </c>
    </row>
    <row r="882" spans="1:14">
      <c r="A882" s="184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197">
        <v>0.01</v>
      </c>
      <c r="I882">
        <f t="shared" si="107"/>
        <v>796</v>
      </c>
      <c r="J882" s="190">
        <v>0.01</v>
      </c>
      <c r="K882">
        <f t="shared" si="106"/>
        <v>708</v>
      </c>
      <c r="L882" s="62">
        <f t="shared" si="108"/>
        <v>803</v>
      </c>
      <c r="M882" s="287">
        <v>1.1399999999999999</v>
      </c>
      <c r="N882" s="284">
        <f>VLOOKUP(3218,季財報!A:N,8,0)</f>
        <v>4</v>
      </c>
    </row>
    <row r="883" spans="1:14">
      <c r="A883" s="184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197">
        <v>0.01</v>
      </c>
      <c r="I883">
        <f t="shared" si="107"/>
        <v>796</v>
      </c>
      <c r="J883" s="190">
        <v>0.01</v>
      </c>
      <c r="K883">
        <f t="shared" si="106"/>
        <v>708</v>
      </c>
      <c r="L883" s="62">
        <f t="shared" si="108"/>
        <v>803</v>
      </c>
      <c r="M883" s="287">
        <v>0.79</v>
      </c>
      <c r="N883" s="284">
        <f>VLOOKUP(3219,季財報!A:N,8,0)</f>
        <v>1</v>
      </c>
    </row>
    <row r="884" spans="1:14">
      <c r="A884" s="184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197">
        <v>0.01</v>
      </c>
      <c r="I884">
        <f t="shared" si="107"/>
        <v>796</v>
      </c>
      <c r="J884" s="190">
        <v>0.01</v>
      </c>
      <c r="K884">
        <f t="shared" si="106"/>
        <v>708</v>
      </c>
      <c r="L884" s="62">
        <f t="shared" si="108"/>
        <v>803</v>
      </c>
      <c r="M884" s="287">
        <v>1.9</v>
      </c>
      <c r="N884" s="284">
        <f>VLOOKUP(3296,季財報!A:N,8,0)</f>
        <v>2</v>
      </c>
    </row>
    <row r="885" spans="1:14">
      <c r="A885" s="184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197">
        <v>0.01</v>
      </c>
      <c r="I885">
        <f t="shared" si="107"/>
        <v>796</v>
      </c>
      <c r="J885" s="190">
        <v>0.01</v>
      </c>
      <c r="K885">
        <f t="shared" si="106"/>
        <v>708</v>
      </c>
      <c r="L885" s="62">
        <f t="shared" si="108"/>
        <v>803</v>
      </c>
      <c r="M885" s="287">
        <v>4.05</v>
      </c>
      <c r="N885" s="284">
        <f>VLOOKUP(3305,季財報!A:N,8,0)</f>
        <v>2</v>
      </c>
    </row>
    <row r="886" spans="1:14">
      <c r="A886" s="184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197">
        <v>0.01</v>
      </c>
      <c r="I886">
        <f t="shared" si="107"/>
        <v>796</v>
      </c>
      <c r="J886" s="190">
        <v>0.01</v>
      </c>
      <c r="K886">
        <f t="shared" si="106"/>
        <v>708</v>
      </c>
      <c r="L886" s="62">
        <f t="shared" si="108"/>
        <v>803</v>
      </c>
      <c r="M886" s="287">
        <v>1.1399999999999999</v>
      </c>
      <c r="N886" s="284">
        <f>VLOOKUP(3306,季財報!A:N,8,0)</f>
        <v>3</v>
      </c>
    </row>
    <row r="887" spans="1:14">
      <c r="A887" s="184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197">
        <v>0.01</v>
      </c>
      <c r="I887">
        <f t="shared" si="107"/>
        <v>796</v>
      </c>
      <c r="J887" s="190">
        <v>0.01</v>
      </c>
      <c r="K887">
        <f t="shared" si="106"/>
        <v>708</v>
      </c>
      <c r="L887" s="62">
        <f t="shared" si="108"/>
        <v>803</v>
      </c>
      <c r="M887" s="287">
        <v>0.79</v>
      </c>
      <c r="N887" s="284">
        <f>VLOOKUP(3444,季財報!A:N,8,0)</f>
        <v>1</v>
      </c>
    </row>
    <row r="888" spans="1:14">
      <c r="A888" s="184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197">
        <v>0.01</v>
      </c>
      <c r="I888">
        <f t="shared" si="107"/>
        <v>796</v>
      </c>
      <c r="J888" s="190">
        <v>0.01</v>
      </c>
      <c r="K888">
        <f t="shared" si="106"/>
        <v>708</v>
      </c>
      <c r="L888" s="62">
        <f t="shared" si="108"/>
        <v>803</v>
      </c>
      <c r="M888" s="287">
        <v>0.79</v>
      </c>
      <c r="N888" s="284">
        <f>VLOOKUP(3504,季財報!A:N,8,0)</f>
        <v>2</v>
      </c>
    </row>
    <row r="889" spans="1:14">
      <c r="A889" s="184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197">
        <v>0.01</v>
      </c>
      <c r="I889">
        <f t="shared" si="107"/>
        <v>796</v>
      </c>
      <c r="J889" s="190">
        <v>0.01</v>
      </c>
      <c r="K889">
        <f t="shared" si="106"/>
        <v>708</v>
      </c>
      <c r="L889" s="62">
        <f t="shared" si="108"/>
        <v>803</v>
      </c>
      <c r="M889" s="287">
        <v>3.67</v>
      </c>
      <c r="N889" s="284">
        <f>VLOOKUP(3531,季財報!A:N,8,0)</f>
        <v>2</v>
      </c>
    </row>
    <row r="890" spans="1:14">
      <c r="A890" s="184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197">
        <v>0.01</v>
      </c>
      <c r="I890">
        <f t="shared" si="107"/>
        <v>796</v>
      </c>
      <c r="J890" s="190">
        <v>0.01</v>
      </c>
      <c r="K890">
        <f t="shared" si="106"/>
        <v>708</v>
      </c>
      <c r="L890" s="62">
        <f t="shared" si="108"/>
        <v>803</v>
      </c>
      <c r="M890" s="287">
        <v>0.79</v>
      </c>
      <c r="N890" s="284">
        <f>VLOOKUP(3540,季財報!A:N,8,0)</f>
        <v>2</v>
      </c>
    </row>
    <row r="891" spans="1:14">
      <c r="A891" s="184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197">
        <v>0.01</v>
      </c>
      <c r="I891">
        <f t="shared" si="107"/>
        <v>796</v>
      </c>
      <c r="J891" s="190">
        <v>0.01</v>
      </c>
      <c r="K891">
        <f t="shared" si="106"/>
        <v>708</v>
      </c>
      <c r="L891" s="62">
        <f t="shared" si="108"/>
        <v>803</v>
      </c>
      <c r="M891" s="287">
        <v>1.01</v>
      </c>
      <c r="N891" s="284">
        <f>VLOOKUP(3550,季財報!A:N,8,0)</f>
        <v>2</v>
      </c>
    </row>
    <row r="892" spans="1:14">
      <c r="A892" s="184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197">
        <v>0.01</v>
      </c>
      <c r="I892">
        <f t="shared" si="107"/>
        <v>796</v>
      </c>
      <c r="J892" s="190">
        <v>0.01</v>
      </c>
      <c r="K892">
        <f t="shared" si="106"/>
        <v>708</v>
      </c>
      <c r="L892" s="62">
        <f t="shared" si="108"/>
        <v>803</v>
      </c>
      <c r="M892" s="287">
        <v>1.9</v>
      </c>
      <c r="N892" s="284">
        <f>VLOOKUP(3624,季財報!A:N,8,0)</f>
        <v>3</v>
      </c>
    </row>
    <row r="893" spans="1:14">
      <c r="A893" s="184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197">
        <v>0.01</v>
      </c>
      <c r="I893">
        <f t="shared" si="107"/>
        <v>796</v>
      </c>
      <c r="J893" s="190">
        <v>0.01</v>
      </c>
      <c r="K893">
        <f t="shared" si="106"/>
        <v>708</v>
      </c>
      <c r="L893" s="62">
        <f t="shared" si="108"/>
        <v>803</v>
      </c>
      <c r="M893" s="287">
        <v>1.1399999999999999</v>
      </c>
      <c r="N893" s="284">
        <f>VLOOKUP(3628,季財報!A:N,8,0)</f>
        <v>0</v>
      </c>
    </row>
    <row r="894" spans="1:14">
      <c r="A894" s="184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197">
        <v>0.01</v>
      </c>
      <c r="I894">
        <f t="shared" si="107"/>
        <v>796</v>
      </c>
      <c r="J894" s="190">
        <v>0.01</v>
      </c>
      <c r="K894">
        <f t="shared" si="106"/>
        <v>708</v>
      </c>
      <c r="L894" s="62">
        <f t="shared" si="108"/>
        <v>803</v>
      </c>
      <c r="M894" s="287">
        <v>0.79</v>
      </c>
      <c r="N894" s="284">
        <f>VLOOKUP(3653,季財報!A:N,8,0)</f>
        <v>3</v>
      </c>
    </row>
    <row r="895" spans="1:14">
      <c r="A895" s="184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197">
        <v>0.01</v>
      </c>
      <c r="I895">
        <f t="shared" si="107"/>
        <v>796</v>
      </c>
      <c r="J895" s="190">
        <v>0.01</v>
      </c>
      <c r="K895">
        <f t="shared" si="106"/>
        <v>708</v>
      </c>
      <c r="L895" s="62">
        <f t="shared" si="108"/>
        <v>803</v>
      </c>
      <c r="M895" s="287">
        <v>0.79</v>
      </c>
      <c r="N895" s="284">
        <f>VLOOKUP(3680,季財報!A:N,8,0)</f>
        <v>3</v>
      </c>
    </row>
    <row r="896" spans="1:14">
      <c r="A896" s="184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197">
        <v>0.01</v>
      </c>
      <c r="I896">
        <f t="shared" si="107"/>
        <v>796</v>
      </c>
      <c r="J896" s="190">
        <v>0.01</v>
      </c>
      <c r="K896">
        <f t="shared" si="106"/>
        <v>708</v>
      </c>
      <c r="L896" s="62">
        <f t="shared" si="108"/>
        <v>803</v>
      </c>
      <c r="M896" s="287">
        <v>0.87</v>
      </c>
      <c r="N896" s="284">
        <f>VLOOKUP(3685,季財報!A:N,8,0)</f>
        <v>2</v>
      </c>
    </row>
    <row r="897" spans="1:14">
      <c r="A897" s="184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197">
        <v>0.01</v>
      </c>
      <c r="I897">
        <f t="shared" si="107"/>
        <v>796</v>
      </c>
      <c r="J897" s="190">
        <v>0.01</v>
      </c>
      <c r="K897">
        <f t="shared" si="106"/>
        <v>708</v>
      </c>
      <c r="L897" s="62">
        <f t="shared" si="108"/>
        <v>803</v>
      </c>
      <c r="M897" s="287">
        <v>1.01</v>
      </c>
      <c r="N897" s="284">
        <f>VLOOKUP(4106,季財報!A:N,8,0)</f>
        <v>1</v>
      </c>
    </row>
    <row r="898" spans="1:14">
      <c r="A898" s="184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197">
        <v>0.01</v>
      </c>
      <c r="I898">
        <f t="shared" si="107"/>
        <v>796</v>
      </c>
      <c r="J898" s="190">
        <v>0.01</v>
      </c>
      <c r="K898">
        <f t="shared" si="106"/>
        <v>708</v>
      </c>
      <c r="L898" s="62">
        <f t="shared" si="108"/>
        <v>803</v>
      </c>
      <c r="M898" s="287">
        <v>0.79</v>
      </c>
      <c r="N898" s="284">
        <f>VLOOKUP(9950,季財報!A:N,8,0)</f>
        <v>3</v>
      </c>
    </row>
    <row r="899" spans="1:14">
      <c r="A899" s="184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197">
        <v>0.01</v>
      </c>
      <c r="I899">
        <f t="shared" si="107"/>
        <v>796</v>
      </c>
      <c r="J899" s="190">
        <v>0.01</v>
      </c>
      <c r="K899">
        <f t="shared" si="106"/>
        <v>708</v>
      </c>
      <c r="L899" s="62">
        <f t="shared" si="108"/>
        <v>803</v>
      </c>
      <c r="M899" s="287">
        <v>2.69</v>
      </c>
      <c r="N899" s="284">
        <f>VLOOKUP(8923,季財報!A:N,8,0)</f>
        <v>1</v>
      </c>
    </row>
    <row r="900" spans="1:14">
      <c r="A900" s="184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197">
        <v>0.01</v>
      </c>
      <c r="I900">
        <f t="shared" ref="I900:I931" si="109">RANK(0.01,H:H,0)</f>
        <v>796</v>
      </c>
      <c r="J900" s="190">
        <v>0.01</v>
      </c>
      <c r="K900">
        <f t="shared" si="106"/>
        <v>708</v>
      </c>
      <c r="L900" s="62">
        <f t="shared" ref="L900:L931" si="110">RANK(1.01,M:M,0)</f>
        <v>803</v>
      </c>
      <c r="M900" s="287">
        <v>0.79</v>
      </c>
      <c r="N900" s="284">
        <f>VLOOKUP(8240,季財報!A:N,8,0)</f>
        <v>4</v>
      </c>
    </row>
    <row r="901" spans="1:14">
      <c r="A901" s="184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197">
        <v>0.01</v>
      </c>
      <c r="I901">
        <f t="shared" si="109"/>
        <v>796</v>
      </c>
      <c r="J901" s="190">
        <v>0.01</v>
      </c>
      <c r="K901">
        <f t="shared" si="106"/>
        <v>708</v>
      </c>
      <c r="L901" s="62">
        <f t="shared" si="110"/>
        <v>803</v>
      </c>
      <c r="M901" s="287">
        <v>1.1399999999999999</v>
      </c>
      <c r="N901" s="284">
        <f>VLOOKUP(8289,季財報!A:N,8,0)</f>
        <v>4</v>
      </c>
    </row>
    <row r="902" spans="1:14">
      <c r="A902" s="184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197">
        <v>0.01</v>
      </c>
      <c r="I902">
        <f t="shared" si="109"/>
        <v>796</v>
      </c>
      <c r="J902" s="190">
        <v>0.01</v>
      </c>
      <c r="K902">
        <f t="shared" si="106"/>
        <v>708</v>
      </c>
      <c r="L902" s="62">
        <f t="shared" si="110"/>
        <v>803</v>
      </c>
      <c r="M902" s="287">
        <v>0.79</v>
      </c>
      <c r="N902" s="284">
        <f>VLOOKUP(8155,季財報!A:N,8,0)</f>
        <v>3</v>
      </c>
    </row>
    <row r="903" spans="1:14">
      <c r="A903" s="184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197">
        <v>0.01</v>
      </c>
      <c r="I903">
        <f t="shared" si="109"/>
        <v>796</v>
      </c>
      <c r="J903" s="190">
        <v>0.01</v>
      </c>
      <c r="K903">
        <f t="shared" si="106"/>
        <v>708</v>
      </c>
      <c r="L903" s="62">
        <f t="shared" si="110"/>
        <v>803</v>
      </c>
      <c r="M903" s="287">
        <v>0.79</v>
      </c>
      <c r="N903" s="284">
        <f>VLOOKUP(6506,季財報!A:N,8,0)</f>
        <v>1</v>
      </c>
    </row>
    <row r="904" spans="1:14">
      <c r="A904" s="184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197">
        <v>0.01</v>
      </c>
      <c r="I904">
        <f t="shared" si="109"/>
        <v>796</v>
      </c>
      <c r="J904" s="190">
        <v>0.01</v>
      </c>
      <c r="K904">
        <f t="shared" si="106"/>
        <v>708</v>
      </c>
      <c r="L904" s="62">
        <f t="shared" si="110"/>
        <v>803</v>
      </c>
      <c r="M904" s="287">
        <v>0.79</v>
      </c>
      <c r="N904" s="284">
        <f>VLOOKUP(6603,季財報!A:N,8,0)</f>
        <v>2</v>
      </c>
    </row>
    <row r="905" spans="1:14">
      <c r="A905" s="184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197">
        <v>0.01</v>
      </c>
      <c r="I905">
        <f t="shared" si="109"/>
        <v>796</v>
      </c>
      <c r="J905" s="190">
        <v>0.01</v>
      </c>
      <c r="K905">
        <f t="shared" si="106"/>
        <v>708</v>
      </c>
      <c r="L905" s="62">
        <f t="shared" si="110"/>
        <v>803</v>
      </c>
      <c r="M905" s="287">
        <v>0.79</v>
      </c>
      <c r="N905" s="284">
        <f>VLOOKUP(6609,季財報!A:N,8,0)</f>
        <v>2</v>
      </c>
    </row>
    <row r="906" spans="1:14">
      <c r="A906" s="184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197">
        <v>0.01</v>
      </c>
      <c r="I906">
        <f t="shared" si="109"/>
        <v>796</v>
      </c>
      <c r="J906" s="190">
        <v>0.01</v>
      </c>
      <c r="K906">
        <f t="shared" si="106"/>
        <v>708</v>
      </c>
      <c r="L906" s="62">
        <f t="shared" si="110"/>
        <v>803</v>
      </c>
      <c r="M906" s="287">
        <v>0.79</v>
      </c>
      <c r="N906" s="284">
        <f>VLOOKUP(6199,季財報!A:N,8,0)</f>
        <v>2</v>
      </c>
    </row>
    <row r="907" spans="1:14">
      <c r="A907" s="184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197">
        <v>0.01</v>
      </c>
      <c r="I907">
        <f t="shared" si="109"/>
        <v>796</v>
      </c>
      <c r="J907" s="190">
        <v>0.01</v>
      </c>
      <c r="K907">
        <f t="shared" si="106"/>
        <v>708</v>
      </c>
      <c r="L907" s="62">
        <f t="shared" si="110"/>
        <v>803</v>
      </c>
      <c r="M907" s="287">
        <v>0.79</v>
      </c>
      <c r="N907" s="284">
        <f>VLOOKUP(6215,季財報!A:N,8,0)</f>
        <v>1</v>
      </c>
    </row>
    <row r="908" spans="1:14">
      <c r="A908" s="184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197">
        <v>0.01</v>
      </c>
      <c r="I908">
        <f t="shared" si="109"/>
        <v>796</v>
      </c>
      <c r="J908" s="190">
        <v>0.01</v>
      </c>
      <c r="K908">
        <f t="shared" si="106"/>
        <v>708</v>
      </c>
      <c r="L908" s="62">
        <f t="shared" si="110"/>
        <v>803</v>
      </c>
      <c r="M908" s="287">
        <v>0.79</v>
      </c>
      <c r="N908" s="284">
        <f>VLOOKUP(5255,季財報!A:N,8,0)</f>
        <v>2</v>
      </c>
    </row>
    <row r="909" spans="1:14">
      <c r="A909" s="184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197">
        <v>0.01</v>
      </c>
      <c r="I909">
        <f t="shared" si="109"/>
        <v>796</v>
      </c>
      <c r="J909" s="190">
        <v>0.01</v>
      </c>
      <c r="K909">
        <f t="shared" si="106"/>
        <v>708</v>
      </c>
      <c r="L909" s="62">
        <f t="shared" si="110"/>
        <v>803</v>
      </c>
      <c r="M909" s="287">
        <v>1.9</v>
      </c>
      <c r="N909" s="284">
        <f>VLOOKUP(5353,季財報!A:N,8,0)</f>
        <v>4</v>
      </c>
    </row>
    <row r="910" spans="1:14">
      <c r="A910" s="184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197">
        <v>0.01</v>
      </c>
      <c r="I910">
        <f t="shared" si="109"/>
        <v>796</v>
      </c>
      <c r="J910" s="190">
        <v>0.01</v>
      </c>
      <c r="K910">
        <f t="shared" si="106"/>
        <v>708</v>
      </c>
      <c r="L910" s="62">
        <f t="shared" si="110"/>
        <v>803</v>
      </c>
      <c r="M910" s="287">
        <v>3.67</v>
      </c>
      <c r="N910" s="284">
        <f>VLOOKUP(5384,季財報!A:N,8,0)</f>
        <v>0</v>
      </c>
    </row>
    <row r="911" spans="1:14">
      <c r="A911" s="184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197">
        <v>0.01</v>
      </c>
      <c r="I911">
        <f t="shared" si="109"/>
        <v>796</v>
      </c>
      <c r="J911" s="190">
        <v>0.01</v>
      </c>
      <c r="K911">
        <f t="shared" si="106"/>
        <v>708</v>
      </c>
      <c r="L911" s="62">
        <f t="shared" si="110"/>
        <v>803</v>
      </c>
      <c r="M911" s="287">
        <v>5.24</v>
      </c>
      <c r="N911" s="284">
        <f>VLOOKUP(5432,季財報!A:N,8,0)</f>
        <v>3</v>
      </c>
    </row>
    <row r="912" spans="1:14">
      <c r="A912" s="184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197">
        <v>0.01</v>
      </c>
      <c r="I912">
        <f t="shared" si="109"/>
        <v>796</v>
      </c>
      <c r="J912" s="190">
        <v>0.01</v>
      </c>
      <c r="K912">
        <f t="shared" si="106"/>
        <v>708</v>
      </c>
      <c r="L912" s="62">
        <f t="shared" si="110"/>
        <v>803</v>
      </c>
      <c r="M912" s="287">
        <v>0.79</v>
      </c>
      <c r="N912" s="284">
        <f>VLOOKUP(5511,季財報!A:N,8,0)</f>
        <v>0</v>
      </c>
    </row>
    <row r="913" spans="1:14">
      <c r="A913" s="184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197">
        <v>0.01</v>
      </c>
      <c r="I913">
        <f t="shared" si="109"/>
        <v>796</v>
      </c>
      <c r="J913" s="190">
        <v>0.01</v>
      </c>
      <c r="K913">
        <f t="shared" si="106"/>
        <v>708</v>
      </c>
      <c r="L913" s="62">
        <f t="shared" si="110"/>
        <v>803</v>
      </c>
      <c r="M913" s="287">
        <v>1.9</v>
      </c>
      <c r="N913" s="284">
        <f>VLOOKUP(5512,季財報!A:N,8,0)</f>
        <v>0</v>
      </c>
    </row>
    <row r="914" spans="1:14">
      <c r="A914" s="184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197">
        <v>0.01</v>
      </c>
      <c r="I914">
        <f t="shared" si="109"/>
        <v>796</v>
      </c>
      <c r="J914" s="190">
        <v>0.01</v>
      </c>
      <c r="K914">
        <f t="shared" si="106"/>
        <v>708</v>
      </c>
      <c r="L914" s="62">
        <f t="shared" si="110"/>
        <v>803</v>
      </c>
      <c r="M914" s="287">
        <v>1.9</v>
      </c>
      <c r="N914" s="284">
        <f>VLOOKUP(4207,季財報!A:N,8,0)</f>
        <v>1</v>
      </c>
    </row>
    <row r="915" spans="1:14">
      <c r="A915" s="184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197">
        <v>0.01</v>
      </c>
      <c r="I915">
        <f t="shared" si="109"/>
        <v>796</v>
      </c>
      <c r="J915" s="190">
        <v>0.01</v>
      </c>
      <c r="K915">
        <f t="shared" si="106"/>
        <v>708</v>
      </c>
      <c r="L915" s="62">
        <f t="shared" si="110"/>
        <v>803</v>
      </c>
      <c r="M915" s="287">
        <v>0.79</v>
      </c>
      <c r="N915" s="284">
        <f>VLOOKUP(4306,季財報!A:N,8,0)</f>
        <v>0</v>
      </c>
    </row>
    <row r="916" spans="1:14">
      <c r="A916" s="184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197">
        <v>0.01</v>
      </c>
      <c r="I916">
        <f t="shared" si="109"/>
        <v>796</v>
      </c>
      <c r="J916" s="190">
        <v>0.01</v>
      </c>
      <c r="K916">
        <f t="shared" si="106"/>
        <v>708</v>
      </c>
      <c r="L916" s="62">
        <f t="shared" si="110"/>
        <v>803</v>
      </c>
      <c r="M916" s="287">
        <v>3.37</v>
      </c>
      <c r="N916" s="284">
        <f>VLOOKUP(4513,季財報!A:N,8,0)</f>
        <v>3</v>
      </c>
    </row>
    <row r="917" spans="1:14">
      <c r="A917" s="184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197">
        <v>0.01</v>
      </c>
      <c r="I917">
        <f t="shared" si="109"/>
        <v>796</v>
      </c>
      <c r="J917" s="190">
        <v>0.01</v>
      </c>
      <c r="K917">
        <f t="shared" si="106"/>
        <v>708</v>
      </c>
      <c r="L917" s="62">
        <f t="shared" si="110"/>
        <v>803</v>
      </c>
      <c r="M917" s="287">
        <v>1.36</v>
      </c>
      <c r="N917" s="284">
        <f>VLOOKUP(4714,季財報!A:N,8,0)</f>
        <v>2</v>
      </c>
    </row>
    <row r="918" spans="1:14">
      <c r="A918" s="184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197">
        <v>0.01</v>
      </c>
      <c r="I918">
        <f t="shared" si="109"/>
        <v>796</v>
      </c>
      <c r="J918" s="190">
        <v>0.01</v>
      </c>
      <c r="K918">
        <f t="shared" si="106"/>
        <v>708</v>
      </c>
      <c r="L918" s="62">
        <f t="shared" si="110"/>
        <v>803</v>
      </c>
      <c r="M918" s="287">
        <v>0.79</v>
      </c>
      <c r="N918" s="284">
        <f>VLOOKUP(4729,季財報!A:N,8,0)</f>
        <v>2</v>
      </c>
    </row>
    <row r="919" spans="1:14">
      <c r="A919" s="184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197">
        <v>0.01</v>
      </c>
      <c r="I919">
        <f t="shared" si="109"/>
        <v>796</v>
      </c>
      <c r="J919" s="190">
        <v>0.01</v>
      </c>
      <c r="K919">
        <f t="shared" si="106"/>
        <v>708</v>
      </c>
      <c r="L919" s="62">
        <f t="shared" si="110"/>
        <v>803</v>
      </c>
      <c r="M919" s="287">
        <v>0.79</v>
      </c>
      <c r="N919" s="284">
        <f>VLOOKUP(4908,季財報!A:N,8,0)</f>
        <v>3</v>
      </c>
    </row>
    <row r="920" spans="1:14">
      <c r="A920" s="184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197">
        <v>0.01</v>
      </c>
      <c r="I920">
        <f t="shared" si="109"/>
        <v>796</v>
      </c>
      <c r="J920" s="190">
        <v>0.01</v>
      </c>
      <c r="K920">
        <f t="shared" si="106"/>
        <v>708</v>
      </c>
      <c r="L920" s="62">
        <f t="shared" si="110"/>
        <v>803</v>
      </c>
      <c r="M920" s="287">
        <v>0.79</v>
      </c>
      <c r="N920" s="284">
        <f>VLOOKUP(4933,季財報!A:N,8,0)</f>
        <v>3</v>
      </c>
    </row>
    <row r="921" spans="1:14">
      <c r="A921" s="184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197">
        <v>0.01</v>
      </c>
      <c r="I921">
        <f t="shared" si="109"/>
        <v>796</v>
      </c>
      <c r="J921" s="190">
        <v>0.01</v>
      </c>
      <c r="K921">
        <f t="shared" si="106"/>
        <v>708</v>
      </c>
      <c r="L921" s="62">
        <f t="shared" si="110"/>
        <v>803</v>
      </c>
      <c r="M921" s="287">
        <v>0.79</v>
      </c>
      <c r="N921" s="284">
        <f>VLOOKUP(4960,季財報!A:N,8,0)</f>
        <v>2</v>
      </c>
    </row>
    <row r="922" spans="1:14">
      <c r="A922" s="184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197">
        <v>0.01</v>
      </c>
      <c r="I922">
        <f t="shared" si="109"/>
        <v>796</v>
      </c>
      <c r="J922" s="190">
        <v>0.01</v>
      </c>
      <c r="K922">
        <f t="shared" si="106"/>
        <v>708</v>
      </c>
      <c r="L922" s="62">
        <f t="shared" si="110"/>
        <v>803</v>
      </c>
      <c r="M922" s="287">
        <v>0.79</v>
      </c>
      <c r="N922" s="284">
        <f>VLOOKUP(1325,季財報!A:N,8,0)</f>
        <v>3</v>
      </c>
    </row>
    <row r="923" spans="1:14">
      <c r="A923" s="184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197">
        <v>0.01</v>
      </c>
      <c r="I923">
        <f t="shared" si="109"/>
        <v>796</v>
      </c>
      <c r="J923" s="190">
        <v>0.01</v>
      </c>
      <c r="K923">
        <f t="shared" si="106"/>
        <v>708</v>
      </c>
      <c r="L923" s="62">
        <f t="shared" si="110"/>
        <v>803</v>
      </c>
      <c r="M923" s="287">
        <v>0.79</v>
      </c>
      <c r="N923" s="284">
        <f>VLOOKUP(1445,季財報!A:N,8,0)</f>
        <v>2</v>
      </c>
    </row>
    <row r="924" spans="1:14">
      <c r="A924" s="184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197">
        <v>0.01</v>
      </c>
      <c r="I924">
        <f t="shared" si="109"/>
        <v>796</v>
      </c>
      <c r="J924" s="190">
        <v>0.01</v>
      </c>
      <c r="K924">
        <f t="shared" si="106"/>
        <v>708</v>
      </c>
      <c r="L924" s="62">
        <f t="shared" si="110"/>
        <v>803</v>
      </c>
      <c r="M924" s="287">
        <v>1.9</v>
      </c>
      <c r="N924" s="284">
        <f>VLOOKUP(1506,季財報!A:N,8,0)</f>
        <v>3</v>
      </c>
    </row>
    <row r="925" spans="1:14">
      <c r="A925" s="184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197">
        <v>0.01</v>
      </c>
      <c r="I925">
        <f t="shared" si="109"/>
        <v>796</v>
      </c>
      <c r="J925" s="190">
        <v>0.01</v>
      </c>
      <c r="K925">
        <f t="shared" si="106"/>
        <v>708</v>
      </c>
      <c r="L925" s="62">
        <f t="shared" si="110"/>
        <v>803</v>
      </c>
      <c r="M925" s="287">
        <v>0.79</v>
      </c>
      <c r="N925" s="284">
        <f>VLOOKUP(1514,季財報!A:N,8,0)</f>
        <v>3</v>
      </c>
    </row>
    <row r="926" spans="1:14">
      <c r="A926" s="184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197">
        <v>0.01</v>
      </c>
      <c r="I926">
        <f t="shared" si="109"/>
        <v>796</v>
      </c>
      <c r="J926" s="190">
        <v>0.01</v>
      </c>
      <c r="K926">
        <f t="shared" si="106"/>
        <v>708</v>
      </c>
      <c r="L926" s="62">
        <f t="shared" si="110"/>
        <v>803</v>
      </c>
      <c r="M926" s="287">
        <v>12.98</v>
      </c>
      <c r="N926" s="284">
        <f>VLOOKUP(1603,季財報!A:N,8,0)</f>
        <v>1</v>
      </c>
    </row>
    <row r="927" spans="1:14">
      <c r="A927" s="184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197">
        <v>0.01</v>
      </c>
      <c r="I927">
        <f t="shared" si="109"/>
        <v>796</v>
      </c>
      <c r="J927" s="190">
        <v>0.01</v>
      </c>
      <c r="K927">
        <f t="shared" si="106"/>
        <v>708</v>
      </c>
      <c r="L927" s="62">
        <f t="shared" si="110"/>
        <v>803</v>
      </c>
      <c r="M927" s="287">
        <v>0.79</v>
      </c>
      <c r="N927" s="284">
        <f>VLOOKUP(1618,季財報!A:N,8,0)</f>
        <v>3</v>
      </c>
    </row>
    <row r="928" spans="1:14">
      <c r="A928" s="184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197">
        <v>0.01</v>
      </c>
      <c r="I928">
        <f t="shared" si="109"/>
        <v>796</v>
      </c>
      <c r="J928" s="190">
        <v>0.01</v>
      </c>
      <c r="K928">
        <f t="shared" si="106"/>
        <v>708</v>
      </c>
      <c r="L928" s="62">
        <f t="shared" si="110"/>
        <v>803</v>
      </c>
      <c r="M928" s="287">
        <v>1.01</v>
      </c>
      <c r="N928" s="284">
        <f>VLOOKUP(1710,季財報!A:N,8,0)</f>
        <v>0</v>
      </c>
    </row>
    <row r="929" spans="1:14">
      <c r="A929" s="184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197">
        <v>0.01</v>
      </c>
      <c r="I929">
        <f t="shared" si="109"/>
        <v>796</v>
      </c>
      <c r="J929" s="190">
        <v>0.01</v>
      </c>
      <c r="K929">
        <f t="shared" si="106"/>
        <v>708</v>
      </c>
      <c r="L929" s="62">
        <f t="shared" si="110"/>
        <v>803</v>
      </c>
      <c r="M929" s="287">
        <v>0.79</v>
      </c>
      <c r="N929" s="284">
        <f>VLOOKUP(1715,季財報!A:N,8,0)</f>
        <v>5</v>
      </c>
    </row>
    <row r="930" spans="1:14">
      <c r="A930" s="184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197">
        <v>0.01</v>
      </c>
      <c r="I930">
        <f t="shared" si="109"/>
        <v>796</v>
      </c>
      <c r="J930" s="190">
        <v>0.01</v>
      </c>
      <c r="K930">
        <f t="shared" ref="K930:K945" si="111">RANK(0.01,J:J,0)</f>
        <v>708</v>
      </c>
      <c r="L930" s="62">
        <f t="shared" si="110"/>
        <v>803</v>
      </c>
      <c r="M930" s="287">
        <v>1.36</v>
      </c>
      <c r="N930" s="284">
        <f>VLOOKUP(1904,季財報!A:N,8,0)</f>
        <v>1</v>
      </c>
    </row>
    <row r="931" spans="1:14">
      <c r="A931" s="184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197">
        <v>0.01</v>
      </c>
      <c r="I931">
        <f t="shared" si="109"/>
        <v>796</v>
      </c>
      <c r="J931" s="190">
        <v>0.01</v>
      </c>
      <c r="K931">
        <f t="shared" si="111"/>
        <v>708</v>
      </c>
      <c r="L931" s="62">
        <f t="shared" si="110"/>
        <v>803</v>
      </c>
      <c r="M931" s="287">
        <v>7.07</v>
      </c>
      <c r="N931" s="284">
        <f>VLOOKUP(1905,季財報!A:N,8,0)</f>
        <v>4</v>
      </c>
    </row>
    <row r="932" spans="1:14">
      <c r="A932" s="184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197">
        <v>0.01</v>
      </c>
      <c r="I932">
        <f t="shared" ref="I932:I945" si="112">RANK(0.01,H:H,0)</f>
        <v>796</v>
      </c>
      <c r="J932" s="190">
        <v>0.01</v>
      </c>
      <c r="K932">
        <f t="shared" si="111"/>
        <v>708</v>
      </c>
      <c r="L932" s="62">
        <f t="shared" ref="L932:L945" si="113">RANK(1.01,M:M,0)</f>
        <v>803</v>
      </c>
      <c r="M932" s="287">
        <v>0.79</v>
      </c>
      <c r="N932" s="284">
        <f>VLOOKUP(1907,季財報!A:N,8,0)</f>
        <v>2</v>
      </c>
    </row>
    <row r="933" spans="1:14">
      <c r="A933" s="184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197">
        <v>0.01</v>
      </c>
      <c r="I933">
        <f t="shared" si="112"/>
        <v>796</v>
      </c>
      <c r="J933" s="190">
        <v>0.01</v>
      </c>
      <c r="K933">
        <f t="shared" si="111"/>
        <v>708</v>
      </c>
      <c r="L933" s="62">
        <f t="shared" si="113"/>
        <v>803</v>
      </c>
      <c r="M933" s="287">
        <v>0.79</v>
      </c>
      <c r="N933" s="284">
        <f>VLOOKUP(2017,季財報!A:N,8,0)</f>
        <v>1</v>
      </c>
    </row>
    <row r="934" spans="1:14">
      <c r="A934" s="184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197">
        <v>0.01</v>
      </c>
      <c r="I934">
        <f t="shared" si="112"/>
        <v>796</v>
      </c>
      <c r="J934" s="190">
        <v>0.01</v>
      </c>
      <c r="K934">
        <f t="shared" si="111"/>
        <v>708</v>
      </c>
      <c r="L934" s="62">
        <f t="shared" si="113"/>
        <v>803</v>
      </c>
      <c r="M934" s="287">
        <v>6.36</v>
      </c>
      <c r="N934" s="284">
        <f>VLOOKUP(2064,季財報!A:N,8,0)</f>
        <v>2</v>
      </c>
    </row>
    <row r="935" spans="1:14">
      <c r="A935" s="184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197">
        <v>0.01</v>
      </c>
      <c r="I935">
        <f t="shared" si="112"/>
        <v>796</v>
      </c>
      <c r="J935" s="190">
        <v>0.01</v>
      </c>
      <c r="K935">
        <f t="shared" si="111"/>
        <v>708</v>
      </c>
      <c r="L935" s="62">
        <f t="shared" si="113"/>
        <v>803</v>
      </c>
      <c r="M935" s="287">
        <v>0.79</v>
      </c>
      <c r="N935" s="284">
        <f>VLOOKUP(2601,季財報!A:N,8,0)</f>
        <v>0</v>
      </c>
    </row>
    <row r="936" spans="1:14">
      <c r="A936" s="184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197">
        <v>0.01</v>
      </c>
      <c r="I936">
        <f t="shared" si="112"/>
        <v>796</v>
      </c>
      <c r="J936" s="190">
        <v>0.01</v>
      </c>
      <c r="K936">
        <f t="shared" si="111"/>
        <v>708</v>
      </c>
      <c r="L936" s="62">
        <f t="shared" si="113"/>
        <v>803</v>
      </c>
      <c r="M936" s="287">
        <v>0.79</v>
      </c>
      <c r="N936" s="284">
        <f>VLOOKUP(2705,季財報!A:N,8,0)</f>
        <v>2</v>
      </c>
    </row>
    <row r="937" spans="1:14">
      <c r="A937" s="184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197">
        <v>0.01</v>
      </c>
      <c r="I937">
        <f t="shared" si="112"/>
        <v>796</v>
      </c>
      <c r="J937" s="190">
        <v>0.01</v>
      </c>
      <c r="K937">
        <f t="shared" si="111"/>
        <v>708</v>
      </c>
      <c r="L937" s="62">
        <f t="shared" si="113"/>
        <v>803</v>
      </c>
      <c r="M937" s="287">
        <v>0.79</v>
      </c>
      <c r="N937" s="284">
        <f>VLOOKUP(2903,季財報!A:N,8,0)</f>
        <v>2</v>
      </c>
    </row>
    <row r="938" spans="1:14">
      <c r="A938" s="184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197">
        <v>0.01</v>
      </c>
      <c r="I938">
        <f t="shared" si="112"/>
        <v>796</v>
      </c>
      <c r="J938" s="190">
        <v>0.01</v>
      </c>
      <c r="K938">
        <f t="shared" si="111"/>
        <v>708</v>
      </c>
      <c r="L938" s="62">
        <f t="shared" si="113"/>
        <v>803</v>
      </c>
      <c r="M938" s="287">
        <v>0.79</v>
      </c>
      <c r="N938" s="284">
        <f>VLOOKUP(3164,季財報!A:N,8,0)</f>
        <v>3</v>
      </c>
    </row>
    <row r="939" spans="1:14">
      <c r="A939" s="184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197">
        <v>0.01</v>
      </c>
      <c r="I939">
        <f t="shared" si="112"/>
        <v>796</v>
      </c>
      <c r="J939" s="190">
        <v>0.01</v>
      </c>
      <c r="K939">
        <f t="shared" si="111"/>
        <v>708</v>
      </c>
      <c r="L939" s="62">
        <f t="shared" si="113"/>
        <v>803</v>
      </c>
      <c r="M939" s="287">
        <v>1.1399999999999999</v>
      </c>
      <c r="N939" s="284">
        <f>VLOOKUP(3224,季財報!A:N,8,0)</f>
        <v>2</v>
      </c>
    </row>
    <row r="940" spans="1:14">
      <c r="A940" s="184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197">
        <v>0.01</v>
      </c>
      <c r="I940">
        <f t="shared" si="112"/>
        <v>796</v>
      </c>
      <c r="J940" s="190">
        <v>0.01</v>
      </c>
      <c r="K940">
        <f t="shared" si="111"/>
        <v>708</v>
      </c>
      <c r="L940" s="62">
        <f t="shared" si="113"/>
        <v>803</v>
      </c>
      <c r="M940" s="287">
        <v>0.79</v>
      </c>
      <c r="N940" s="284">
        <f>VLOOKUP(3227,季財報!A:N,8,0)</f>
        <v>3</v>
      </c>
    </row>
    <row r="941" spans="1:14">
      <c r="A941" s="184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197">
        <v>0.01</v>
      </c>
      <c r="I941">
        <f t="shared" si="112"/>
        <v>796</v>
      </c>
      <c r="J941" s="190">
        <v>0.01</v>
      </c>
      <c r="K941">
        <f t="shared" si="111"/>
        <v>708</v>
      </c>
      <c r="L941" s="62">
        <f t="shared" si="113"/>
        <v>803</v>
      </c>
      <c r="M941" s="287">
        <v>0.79</v>
      </c>
      <c r="N941" s="284">
        <f>VLOOKUP(3236,季財報!A:N,8,0)</f>
        <v>6</v>
      </c>
    </row>
    <row r="942" spans="1:14">
      <c r="A942" s="184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197">
        <v>0.01</v>
      </c>
      <c r="I942">
        <f t="shared" si="112"/>
        <v>796</v>
      </c>
      <c r="J942" s="190">
        <v>0.01</v>
      </c>
      <c r="K942">
        <f t="shared" si="111"/>
        <v>708</v>
      </c>
      <c r="L942" s="62">
        <f t="shared" si="113"/>
        <v>803</v>
      </c>
      <c r="M942" s="287">
        <v>2.72</v>
      </c>
      <c r="N942" s="284">
        <f>VLOOKUP(3290,季財報!A:N,8,0)</f>
        <v>1</v>
      </c>
    </row>
    <row r="943" spans="1:14">
      <c r="A943" s="184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197">
        <v>0.01</v>
      </c>
      <c r="I943">
        <f t="shared" si="112"/>
        <v>796</v>
      </c>
      <c r="J943" s="190">
        <v>0.01</v>
      </c>
      <c r="K943">
        <f t="shared" si="111"/>
        <v>708</v>
      </c>
      <c r="L943" s="62">
        <f t="shared" si="113"/>
        <v>803</v>
      </c>
      <c r="M943" s="287">
        <v>0.79</v>
      </c>
      <c r="N943" s="284">
        <f>VLOOKUP(3605,季財報!A:N,8,0)</f>
        <v>4</v>
      </c>
    </row>
    <row r="944" spans="1:14">
      <c r="A944" s="184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197">
        <v>0.01</v>
      </c>
      <c r="I944">
        <f t="shared" si="112"/>
        <v>796</v>
      </c>
      <c r="J944" s="190">
        <v>0.01</v>
      </c>
      <c r="K944">
        <f t="shared" si="111"/>
        <v>708</v>
      </c>
      <c r="L944" s="62">
        <f t="shared" si="113"/>
        <v>803</v>
      </c>
      <c r="M944" s="287">
        <v>22.67</v>
      </c>
      <c r="N944" s="284">
        <f>VLOOKUP(3615,季財報!A:N,8,0)</f>
        <v>4</v>
      </c>
    </row>
    <row r="945" spans="1:14">
      <c r="A945" s="184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197">
        <v>0.01</v>
      </c>
      <c r="I945">
        <f t="shared" si="112"/>
        <v>796</v>
      </c>
      <c r="J945" s="190">
        <v>0.01</v>
      </c>
      <c r="K945">
        <f t="shared" si="111"/>
        <v>708</v>
      </c>
      <c r="L945" s="62">
        <f t="shared" si="113"/>
        <v>803</v>
      </c>
      <c r="M945" s="287">
        <v>0.79</v>
      </c>
      <c r="N945" s="284">
        <f>VLOOKUP(5426,季財報!A:N,8,0)</f>
        <v>2</v>
      </c>
    </row>
    <row r="946" spans="1:14">
      <c r="A946" s="184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197">
        <v>0.02</v>
      </c>
      <c r="I946">
        <f>RANK(0.02,H:H,0)</f>
        <v>619</v>
      </c>
      <c r="J946" s="190">
        <v>0</v>
      </c>
      <c r="K946">
        <f>RANK(0,J:J,0)</f>
        <v>945</v>
      </c>
      <c r="L946" s="62">
        <f>RANK(0.97,M:M,0)</f>
        <v>945</v>
      </c>
      <c r="M946" s="287">
        <v>0.79</v>
      </c>
      <c r="N946" s="284">
        <f>VLOOKUP(2913,季財報!A:N,8,0)</f>
        <v>1</v>
      </c>
    </row>
    <row r="947" spans="1:14">
      <c r="A947" s="184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197">
        <v>0.02</v>
      </c>
      <c r="I947">
        <f>RANK(0.02,H:H,0)</f>
        <v>619</v>
      </c>
      <c r="J947" s="190">
        <v>0</v>
      </c>
      <c r="K947">
        <f>RANK(0,J:J,0)</f>
        <v>945</v>
      </c>
      <c r="L947" s="62">
        <f>RANK(0.97,M:M,0)</f>
        <v>945</v>
      </c>
      <c r="M947" s="287">
        <v>0.79</v>
      </c>
      <c r="N947" s="284">
        <f>VLOOKUP(2312,季財報!A:N,8,0)</f>
        <v>1</v>
      </c>
    </row>
    <row r="948" spans="1:14">
      <c r="A948" s="184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197">
        <v>0</v>
      </c>
      <c r="I948">
        <f>RANK(0,H:H,0)</f>
        <v>979</v>
      </c>
      <c r="J948" s="190">
        <v>0.01</v>
      </c>
      <c r="K948">
        <f>RANK(0.01,J:J,0)</f>
        <v>708</v>
      </c>
      <c r="L948" s="62">
        <f>RANK(0.9,M:M,0)</f>
        <v>947</v>
      </c>
      <c r="M948" s="287">
        <v>0.79</v>
      </c>
      <c r="N948" s="284">
        <f>VLOOKUP(6180,季財報!A:N,8,0)</f>
        <v>2</v>
      </c>
    </row>
    <row r="949" spans="1:14">
      <c r="A949" s="184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197">
        <v>0</v>
      </c>
      <c r="I949">
        <f>RANK(0,H:H,0)</f>
        <v>979</v>
      </c>
      <c r="J949" s="190">
        <v>0.01</v>
      </c>
      <c r="K949">
        <f>RANK(0.01,J:J,0)</f>
        <v>708</v>
      </c>
      <c r="L949" s="62">
        <f>RANK(0.9,M:M,0)</f>
        <v>947</v>
      </c>
      <c r="M949" s="287">
        <v>0.79</v>
      </c>
      <c r="N949" s="284">
        <f>VLOOKUP(1236,季財報!A:N,8,0)</f>
        <v>1</v>
      </c>
    </row>
    <row r="950" spans="1:14">
      <c r="A950" s="184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197">
        <v>0</v>
      </c>
      <c r="I950">
        <f>RANK(0,H:H,0)</f>
        <v>979</v>
      </c>
      <c r="J950" s="190">
        <v>0.01</v>
      </c>
      <c r="K950">
        <f>RANK(0.01,J:J,0)</f>
        <v>708</v>
      </c>
      <c r="L950" s="62">
        <f>RANK(0.9,M:M,0)</f>
        <v>947</v>
      </c>
      <c r="M950" s="287">
        <v>0.79</v>
      </c>
      <c r="N950" s="284">
        <f>VLOOKUP(5608,季財報!A:N,8,0)</f>
        <v>2</v>
      </c>
    </row>
    <row r="951" spans="1:14">
      <c r="A951" s="184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197">
        <v>0</v>
      </c>
      <c r="I951">
        <f>RANK(0,H:H,0)</f>
        <v>979</v>
      </c>
      <c r="J951" s="190">
        <v>0.01</v>
      </c>
      <c r="K951">
        <f>RANK(0.01,J:J,0)</f>
        <v>708</v>
      </c>
      <c r="L951" s="62">
        <f>RANK(0.9,M:M,0)</f>
        <v>947</v>
      </c>
      <c r="M951" s="287">
        <v>0.79</v>
      </c>
      <c r="N951" s="284">
        <f>VLOOKUP(2615,季財報!A:N,8,0)</f>
        <v>2</v>
      </c>
    </row>
    <row r="952" spans="1:14">
      <c r="A952" s="184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197">
        <v>0.01</v>
      </c>
      <c r="I952">
        <f t="shared" ref="I952:I983" si="114">RANK(0.01,H:H,0)</f>
        <v>796</v>
      </c>
      <c r="J952" s="190">
        <v>0</v>
      </c>
      <c r="K952">
        <f t="shared" ref="K952:K1015" si="115">RANK(0,J:J,0)</f>
        <v>945</v>
      </c>
      <c r="L952" s="62">
        <f t="shared" ref="L952:L983" si="116">RANK(0.87,M:M,0)</f>
        <v>951</v>
      </c>
      <c r="M952" s="287">
        <v>1.01</v>
      </c>
      <c r="N952" s="284">
        <f>VLOOKUP(8996,季財報!A:N,8,0)</f>
        <v>1</v>
      </c>
    </row>
    <row r="953" spans="1:14">
      <c r="A953" s="184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197">
        <v>0.01</v>
      </c>
      <c r="I953">
        <f t="shared" si="114"/>
        <v>796</v>
      </c>
      <c r="J953" s="190">
        <v>0</v>
      </c>
      <c r="K953">
        <f t="shared" si="115"/>
        <v>945</v>
      </c>
      <c r="L953" s="62">
        <f t="shared" si="116"/>
        <v>951</v>
      </c>
      <c r="M953" s="287">
        <v>0.79</v>
      </c>
      <c r="N953" s="284">
        <f>VLOOKUP(8070,季財報!A:N,8,0)</f>
        <v>1</v>
      </c>
    </row>
    <row r="954" spans="1:14">
      <c r="A954" s="184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197">
        <v>0.01</v>
      </c>
      <c r="I954">
        <f t="shared" si="114"/>
        <v>796</v>
      </c>
      <c r="J954" s="190">
        <v>0</v>
      </c>
      <c r="K954">
        <f t="shared" si="115"/>
        <v>945</v>
      </c>
      <c r="L954" s="62">
        <f t="shared" si="116"/>
        <v>951</v>
      </c>
      <c r="M954" s="287">
        <v>1.9</v>
      </c>
      <c r="N954" s="284">
        <f>VLOOKUP(6188,季財報!A:N,8,0)</f>
        <v>0</v>
      </c>
    </row>
    <row r="955" spans="1:14">
      <c r="A955" s="184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197">
        <v>0.01</v>
      </c>
      <c r="I955">
        <f t="shared" si="114"/>
        <v>796</v>
      </c>
      <c r="J955" s="190">
        <v>0</v>
      </c>
      <c r="K955">
        <f t="shared" si="115"/>
        <v>945</v>
      </c>
      <c r="L955" s="62">
        <f t="shared" si="116"/>
        <v>951</v>
      </c>
      <c r="M955" s="287">
        <v>1.18</v>
      </c>
      <c r="N955" s="284">
        <f>VLOOKUP(4430,季財報!A:N,8,0)</f>
        <v>2</v>
      </c>
    </row>
    <row r="956" spans="1:14">
      <c r="A956" s="184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197">
        <v>0.01</v>
      </c>
      <c r="I956">
        <f t="shared" si="114"/>
        <v>796</v>
      </c>
      <c r="J956" s="190">
        <v>0</v>
      </c>
      <c r="K956">
        <f t="shared" si="115"/>
        <v>945</v>
      </c>
      <c r="L956" s="62">
        <f t="shared" si="116"/>
        <v>951</v>
      </c>
      <c r="M956" s="287">
        <v>0.79</v>
      </c>
      <c r="N956" s="284">
        <f>VLOOKUP(1104,季財報!A:N,8,0)</f>
        <v>2</v>
      </c>
    </row>
    <row r="957" spans="1:14">
      <c r="A957" s="184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197">
        <v>0.01</v>
      </c>
      <c r="I957">
        <f t="shared" si="114"/>
        <v>796</v>
      </c>
      <c r="J957" s="190">
        <v>0</v>
      </c>
      <c r="K957">
        <f t="shared" si="115"/>
        <v>945</v>
      </c>
      <c r="L957" s="62">
        <f t="shared" si="116"/>
        <v>951</v>
      </c>
      <c r="M957" s="287">
        <v>1.01</v>
      </c>
      <c r="N957" s="284">
        <f>VLOOKUP(1110,季財報!A:N,8,0)</f>
        <v>2</v>
      </c>
    </row>
    <row r="958" spans="1:14">
      <c r="A958" s="184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197">
        <v>0.01</v>
      </c>
      <c r="I958">
        <f t="shared" si="114"/>
        <v>796</v>
      </c>
      <c r="J958" s="190">
        <v>0</v>
      </c>
      <c r="K958">
        <f t="shared" si="115"/>
        <v>945</v>
      </c>
      <c r="L958" s="62">
        <f t="shared" si="116"/>
        <v>951</v>
      </c>
      <c r="M958" s="287">
        <v>12.45</v>
      </c>
      <c r="N958" s="284">
        <f>VLOOKUP(1235,季財報!A:N,8,0)</f>
        <v>3</v>
      </c>
    </row>
    <row r="959" spans="1:14">
      <c r="A959" s="184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197">
        <v>0.01</v>
      </c>
      <c r="I959">
        <f t="shared" si="114"/>
        <v>796</v>
      </c>
      <c r="J959" s="190">
        <v>0</v>
      </c>
      <c r="K959">
        <f t="shared" si="115"/>
        <v>945</v>
      </c>
      <c r="L959" s="62">
        <f t="shared" si="116"/>
        <v>951</v>
      </c>
      <c r="M959" s="287">
        <v>4.1500000000000004</v>
      </c>
      <c r="N959" s="284">
        <f>VLOOKUP(1315,季財報!A:N,8,0)</f>
        <v>4</v>
      </c>
    </row>
    <row r="960" spans="1:14">
      <c r="A960" s="184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197">
        <v>0.01</v>
      </c>
      <c r="I960">
        <f t="shared" si="114"/>
        <v>796</v>
      </c>
      <c r="J960" s="190">
        <v>0</v>
      </c>
      <c r="K960">
        <f t="shared" si="115"/>
        <v>945</v>
      </c>
      <c r="L960" s="62">
        <f t="shared" si="116"/>
        <v>951</v>
      </c>
      <c r="M960" s="287">
        <v>1.01</v>
      </c>
      <c r="N960" s="284">
        <f>VLOOKUP(1525,季財報!A:N,8,0)</f>
        <v>1</v>
      </c>
    </row>
    <row r="961" spans="1:14">
      <c r="A961" s="184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197">
        <v>0.01</v>
      </c>
      <c r="I961">
        <f t="shared" si="114"/>
        <v>796</v>
      </c>
      <c r="J961" s="190">
        <v>0</v>
      </c>
      <c r="K961">
        <f t="shared" si="115"/>
        <v>945</v>
      </c>
      <c r="L961" s="62">
        <f t="shared" si="116"/>
        <v>951</v>
      </c>
      <c r="M961" s="287">
        <v>1.58</v>
      </c>
      <c r="N961" s="284">
        <f>VLOOKUP(1617,季財報!A:N,8,0)</f>
        <v>2</v>
      </c>
    </row>
    <row r="962" spans="1:14">
      <c r="A962" s="184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197">
        <v>0.01</v>
      </c>
      <c r="I962">
        <f t="shared" si="114"/>
        <v>796</v>
      </c>
      <c r="J962" s="190">
        <v>0</v>
      </c>
      <c r="K962">
        <f t="shared" si="115"/>
        <v>945</v>
      </c>
      <c r="L962" s="62">
        <f t="shared" si="116"/>
        <v>951</v>
      </c>
      <c r="M962" s="287">
        <v>1.9</v>
      </c>
      <c r="N962" s="284">
        <f>VLOOKUP(1713,季財報!A:N,8,0)</f>
        <v>1</v>
      </c>
    </row>
    <row r="963" spans="1:14">
      <c r="A963" s="184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197">
        <v>0.01</v>
      </c>
      <c r="I963">
        <f t="shared" si="114"/>
        <v>796</v>
      </c>
      <c r="J963" s="190">
        <v>0</v>
      </c>
      <c r="K963">
        <f t="shared" si="115"/>
        <v>945</v>
      </c>
      <c r="L963" s="62">
        <f t="shared" si="116"/>
        <v>951</v>
      </c>
      <c r="M963" s="287">
        <v>5.24</v>
      </c>
      <c r="N963" s="284">
        <f>VLOOKUP(1810,季財報!A:N,8,0)</f>
        <v>2</v>
      </c>
    </row>
    <row r="964" spans="1:14">
      <c r="A964" s="184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197">
        <v>0.01</v>
      </c>
      <c r="I964">
        <f t="shared" si="114"/>
        <v>796</v>
      </c>
      <c r="J964" s="190">
        <v>0</v>
      </c>
      <c r="K964">
        <f t="shared" si="115"/>
        <v>945</v>
      </c>
      <c r="L964" s="62">
        <f t="shared" si="116"/>
        <v>951</v>
      </c>
      <c r="M964" s="287">
        <v>0.79</v>
      </c>
      <c r="N964" s="284">
        <f>VLOOKUP(2010,季財報!A:N,8,0)</f>
        <v>0</v>
      </c>
    </row>
    <row r="965" spans="1:14">
      <c r="A965" s="184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197">
        <v>0.01</v>
      </c>
      <c r="I965">
        <f t="shared" si="114"/>
        <v>796</v>
      </c>
      <c r="J965" s="190">
        <v>0</v>
      </c>
      <c r="K965">
        <f t="shared" si="115"/>
        <v>945</v>
      </c>
      <c r="L965" s="62">
        <f t="shared" si="116"/>
        <v>951</v>
      </c>
      <c r="M965" s="287">
        <v>1.1399999999999999</v>
      </c>
      <c r="N965" s="284">
        <f>VLOOKUP(2013,季財報!A:N,8,0)</f>
        <v>0</v>
      </c>
    </row>
    <row r="966" spans="1:14">
      <c r="A966" s="184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197">
        <v>0.01</v>
      </c>
      <c r="I966">
        <f t="shared" si="114"/>
        <v>796</v>
      </c>
      <c r="J966" s="190">
        <v>0</v>
      </c>
      <c r="K966">
        <f t="shared" si="115"/>
        <v>945</v>
      </c>
      <c r="L966" s="62">
        <f t="shared" si="116"/>
        <v>951</v>
      </c>
      <c r="M966" s="287">
        <v>0.79</v>
      </c>
      <c r="N966" s="284">
        <f>VLOOKUP(2201,季財報!A:N,8,0)</f>
        <v>1</v>
      </c>
    </row>
    <row r="967" spans="1:14">
      <c r="A967" s="184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197">
        <v>0.01</v>
      </c>
      <c r="I967">
        <f t="shared" si="114"/>
        <v>796</v>
      </c>
      <c r="J967" s="190">
        <v>0</v>
      </c>
      <c r="K967">
        <f t="shared" si="115"/>
        <v>945</v>
      </c>
      <c r="L967" s="62">
        <f t="shared" si="116"/>
        <v>951</v>
      </c>
      <c r="M967" s="287">
        <v>1.18</v>
      </c>
      <c r="N967" s="284">
        <f>VLOOKUP(2442,季財報!A:N,8,0)</f>
        <v>1</v>
      </c>
    </row>
    <row r="968" spans="1:14">
      <c r="A968" s="184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197">
        <v>0.01</v>
      </c>
      <c r="I968">
        <f t="shared" si="114"/>
        <v>796</v>
      </c>
      <c r="J968" s="190">
        <v>0</v>
      </c>
      <c r="K968">
        <f t="shared" si="115"/>
        <v>945</v>
      </c>
      <c r="L968" s="62">
        <f t="shared" si="116"/>
        <v>951</v>
      </c>
      <c r="M968" s="287">
        <v>0.79</v>
      </c>
      <c r="N968" s="284">
        <f>VLOOKUP(3162,季財報!A:N,8,0)</f>
        <v>2</v>
      </c>
    </row>
    <row r="969" spans="1:14">
      <c r="A969" s="184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197">
        <v>0.01</v>
      </c>
      <c r="I969">
        <f t="shared" si="114"/>
        <v>796</v>
      </c>
      <c r="J969" s="190">
        <v>0</v>
      </c>
      <c r="K969">
        <f t="shared" si="115"/>
        <v>945</v>
      </c>
      <c r="L969" s="62">
        <f t="shared" si="116"/>
        <v>951</v>
      </c>
      <c r="M969" s="287">
        <v>0.79</v>
      </c>
      <c r="N969" s="284">
        <f>VLOOKUP(3706,季財報!A:N,8,0)</f>
        <v>3</v>
      </c>
    </row>
    <row r="970" spans="1:14">
      <c r="A970" s="184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197">
        <v>0.01</v>
      </c>
      <c r="I970">
        <f t="shared" si="114"/>
        <v>796</v>
      </c>
      <c r="J970" s="190">
        <v>0</v>
      </c>
      <c r="K970">
        <f t="shared" si="115"/>
        <v>945</v>
      </c>
      <c r="L970" s="62">
        <f t="shared" si="116"/>
        <v>951</v>
      </c>
      <c r="M970" s="287">
        <v>0.79</v>
      </c>
      <c r="N970" s="284">
        <f>VLOOKUP(8101,季財報!A:N,8,0)</f>
        <v>4</v>
      </c>
    </row>
    <row r="971" spans="1:14">
      <c r="A971" s="184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197">
        <v>0.01</v>
      </c>
      <c r="I971">
        <f t="shared" si="114"/>
        <v>796</v>
      </c>
      <c r="J971" s="190">
        <v>0</v>
      </c>
      <c r="K971">
        <f t="shared" si="115"/>
        <v>945</v>
      </c>
      <c r="L971" s="62">
        <f t="shared" si="116"/>
        <v>951</v>
      </c>
      <c r="M971" s="287">
        <v>0.79</v>
      </c>
      <c r="N971" s="284">
        <f>VLOOKUP(8287,季財報!A:N,8,0)</f>
        <v>2</v>
      </c>
    </row>
    <row r="972" spans="1:14">
      <c r="A972" s="184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197">
        <v>0.01</v>
      </c>
      <c r="I972">
        <f t="shared" si="114"/>
        <v>796</v>
      </c>
      <c r="J972" s="190">
        <v>0</v>
      </c>
      <c r="K972">
        <f t="shared" si="115"/>
        <v>945</v>
      </c>
      <c r="L972" s="62">
        <f t="shared" si="116"/>
        <v>951</v>
      </c>
      <c r="M972" s="287">
        <v>0.79</v>
      </c>
      <c r="N972" s="284">
        <f>VLOOKUP(6212,季財報!A:N,8,0)</f>
        <v>2</v>
      </c>
    </row>
    <row r="973" spans="1:14">
      <c r="A973" s="184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197">
        <v>0.01</v>
      </c>
      <c r="I973">
        <f t="shared" si="114"/>
        <v>796</v>
      </c>
      <c r="J973" s="190">
        <v>0</v>
      </c>
      <c r="K973">
        <f t="shared" si="115"/>
        <v>945</v>
      </c>
      <c r="L973" s="62">
        <f t="shared" si="116"/>
        <v>951</v>
      </c>
      <c r="M973" s="287">
        <v>0.79</v>
      </c>
      <c r="N973" s="284">
        <f>VLOOKUP(6158,季財報!A:N,8,0)</f>
        <v>4</v>
      </c>
    </row>
    <row r="974" spans="1:14">
      <c r="A974" s="184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197">
        <v>0.01</v>
      </c>
      <c r="I974">
        <f t="shared" si="114"/>
        <v>796</v>
      </c>
      <c r="J974" s="190">
        <v>0</v>
      </c>
      <c r="K974">
        <f t="shared" si="115"/>
        <v>945</v>
      </c>
      <c r="L974" s="62">
        <f t="shared" si="116"/>
        <v>951</v>
      </c>
      <c r="M974" s="287">
        <v>1.9</v>
      </c>
      <c r="N974" s="284">
        <f>VLOOKUP(4161,季財報!A:N,8,0)</f>
        <v>2</v>
      </c>
    </row>
    <row r="975" spans="1:14">
      <c r="A975" s="184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197">
        <v>0.01</v>
      </c>
      <c r="I975">
        <f t="shared" si="114"/>
        <v>796</v>
      </c>
      <c r="J975" s="190">
        <v>0</v>
      </c>
      <c r="K975">
        <f t="shared" si="115"/>
        <v>945</v>
      </c>
      <c r="L975" s="62">
        <f t="shared" si="116"/>
        <v>951</v>
      </c>
      <c r="M975" s="287">
        <v>0.79</v>
      </c>
      <c r="N975" s="284">
        <f>VLOOKUP(4930,季財報!A:N,8,0)</f>
        <v>3</v>
      </c>
    </row>
    <row r="976" spans="1:14">
      <c r="A976" s="184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197">
        <v>0.01</v>
      </c>
      <c r="I976">
        <f t="shared" si="114"/>
        <v>796</v>
      </c>
      <c r="J976" s="190">
        <v>0</v>
      </c>
      <c r="K976">
        <f t="shared" si="115"/>
        <v>945</v>
      </c>
      <c r="L976" s="62">
        <f t="shared" si="116"/>
        <v>951</v>
      </c>
      <c r="M976" s="287">
        <v>0.79</v>
      </c>
      <c r="N976" s="284">
        <f>VLOOKUP(1217,季財報!A:N,8,0)</f>
        <v>2</v>
      </c>
    </row>
    <row r="977" spans="1:14">
      <c r="A977" s="184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197">
        <v>0.01</v>
      </c>
      <c r="I977">
        <f t="shared" si="114"/>
        <v>796</v>
      </c>
      <c r="J977" s="190">
        <v>0</v>
      </c>
      <c r="K977">
        <f t="shared" si="115"/>
        <v>945</v>
      </c>
      <c r="L977" s="62">
        <f t="shared" si="116"/>
        <v>951</v>
      </c>
      <c r="M977" s="287">
        <v>0.79</v>
      </c>
      <c r="N977" s="284">
        <f>VLOOKUP(2107,季財報!A:N,8,0)</f>
        <v>2</v>
      </c>
    </row>
    <row r="978" spans="1:14">
      <c r="A978" s="184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197">
        <v>0.01</v>
      </c>
      <c r="I978">
        <f t="shared" si="114"/>
        <v>796</v>
      </c>
      <c r="J978" s="190">
        <v>0</v>
      </c>
      <c r="K978">
        <f t="shared" si="115"/>
        <v>945</v>
      </c>
      <c r="L978" s="62">
        <f t="shared" si="116"/>
        <v>951</v>
      </c>
      <c r="M978" s="287">
        <v>3.37</v>
      </c>
      <c r="N978" s="284">
        <f>VLOOKUP(2427,季財報!A:N,8,0)</f>
        <v>3</v>
      </c>
    </row>
    <row r="979" spans="1:14">
      <c r="A979" s="184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197">
        <v>0.01</v>
      </c>
      <c r="I979">
        <f t="shared" si="114"/>
        <v>796</v>
      </c>
      <c r="J979" s="190">
        <v>0</v>
      </c>
      <c r="K979">
        <f t="shared" si="115"/>
        <v>945</v>
      </c>
      <c r="L979" s="62">
        <f t="shared" si="116"/>
        <v>951</v>
      </c>
      <c r="M979" s="287">
        <v>0.79</v>
      </c>
      <c r="N979" s="284">
        <f>VLOOKUP(2506,季財報!A:N,8,0)</f>
        <v>1</v>
      </c>
    </row>
    <row r="980" spans="1:14">
      <c r="A980" s="184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197">
        <v>0.01</v>
      </c>
      <c r="I980">
        <f t="shared" si="114"/>
        <v>796</v>
      </c>
      <c r="J980" s="190">
        <v>0</v>
      </c>
      <c r="K980">
        <f t="shared" si="115"/>
        <v>945</v>
      </c>
      <c r="L980" s="62">
        <f t="shared" si="116"/>
        <v>951</v>
      </c>
      <c r="M980" s="287">
        <v>0.79</v>
      </c>
      <c r="N980" s="284">
        <f>VLOOKUP(2611,季財報!A:N,8,0)</f>
        <v>2</v>
      </c>
    </row>
    <row r="981" spans="1:14">
      <c r="A981" s="184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197">
        <v>0.01</v>
      </c>
      <c r="I981">
        <f t="shared" si="114"/>
        <v>796</v>
      </c>
      <c r="J981" s="190">
        <v>0</v>
      </c>
      <c r="K981">
        <f t="shared" si="115"/>
        <v>945</v>
      </c>
      <c r="L981" s="62">
        <f t="shared" si="116"/>
        <v>951</v>
      </c>
      <c r="M981" s="287">
        <v>1.9</v>
      </c>
      <c r="N981" s="284">
        <f>VLOOKUP(3050,季財報!A:N,8,0)</f>
        <v>2</v>
      </c>
    </row>
    <row r="982" spans="1:14">
      <c r="A982" s="184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197">
        <v>0.01</v>
      </c>
      <c r="I982">
        <f t="shared" si="114"/>
        <v>796</v>
      </c>
      <c r="J982" s="190">
        <v>0</v>
      </c>
      <c r="K982">
        <f t="shared" si="115"/>
        <v>945</v>
      </c>
      <c r="L982" s="62">
        <f t="shared" si="116"/>
        <v>951</v>
      </c>
      <c r="M982" s="287">
        <v>1.01</v>
      </c>
      <c r="N982" s="284">
        <f>VLOOKUP(3310,季財報!A:N,8,0)</f>
        <v>2</v>
      </c>
    </row>
    <row r="983" spans="1:14">
      <c r="A983" s="184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197">
        <v>0.01</v>
      </c>
      <c r="I983">
        <f t="shared" si="114"/>
        <v>796</v>
      </c>
      <c r="J983" s="190">
        <v>0</v>
      </c>
      <c r="K983">
        <f t="shared" si="115"/>
        <v>945</v>
      </c>
      <c r="L983" s="62">
        <f t="shared" si="116"/>
        <v>951</v>
      </c>
      <c r="M983" s="287">
        <v>1.01</v>
      </c>
      <c r="N983" s="284">
        <f>VLOOKUP(3354,季財報!A:N,8,0)</f>
        <v>5</v>
      </c>
    </row>
    <row r="984" spans="1:14">
      <c r="A984" s="184">
        <v>9962</v>
      </c>
      <c r="C984">
        <v>-28</v>
      </c>
      <c r="H984" s="197">
        <v>0</v>
      </c>
      <c r="I984">
        <f t="shared" ref="I984:I1047" si="117">RANK(0,H:H,0)</f>
        <v>979</v>
      </c>
      <c r="J984" s="190">
        <v>0</v>
      </c>
      <c r="K984">
        <f t="shared" si="115"/>
        <v>945</v>
      </c>
      <c r="L984" s="62">
        <f t="shared" ref="L984:L1047" si="118">RANK(0.79,M:M,0)</f>
        <v>983</v>
      </c>
      <c r="M984" s="287">
        <v>0.79</v>
      </c>
      <c r="N984" s="284">
        <f>VLOOKUP(9962,季財報!A:N,8,0)</f>
        <v>0</v>
      </c>
    </row>
    <row r="985" spans="1:14">
      <c r="A985" s="184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197">
        <v>0</v>
      </c>
      <c r="I985">
        <f t="shared" si="117"/>
        <v>979</v>
      </c>
      <c r="J985" s="190">
        <v>0</v>
      </c>
      <c r="K985">
        <f t="shared" si="115"/>
        <v>945</v>
      </c>
      <c r="L985" s="62">
        <f t="shared" si="118"/>
        <v>983</v>
      </c>
      <c r="M985" s="287">
        <v>0.79</v>
      </c>
      <c r="N985" s="284">
        <f>VLOOKUP(9940,季財報!A:N,8,0)</f>
        <v>2</v>
      </c>
    </row>
    <row r="986" spans="1:14">
      <c r="A986" s="184">
        <v>9955</v>
      </c>
      <c r="C986">
        <v>-30</v>
      </c>
      <c r="H986" s="197">
        <v>0</v>
      </c>
      <c r="I986">
        <f t="shared" si="117"/>
        <v>979</v>
      </c>
      <c r="J986" s="190">
        <v>0</v>
      </c>
      <c r="K986">
        <f t="shared" si="115"/>
        <v>945</v>
      </c>
      <c r="L986" s="62">
        <f t="shared" si="118"/>
        <v>983</v>
      </c>
      <c r="M986" s="287">
        <v>0.79</v>
      </c>
      <c r="N986" s="284">
        <f>VLOOKUP(9955,季財報!A:N,8,0)</f>
        <v>2</v>
      </c>
    </row>
    <row r="987" spans="1:14">
      <c r="A987" s="184">
        <v>9960</v>
      </c>
      <c r="C987">
        <v>-3</v>
      </c>
      <c r="H987" s="197">
        <v>0</v>
      </c>
      <c r="I987">
        <f t="shared" si="117"/>
        <v>979</v>
      </c>
      <c r="J987" s="190">
        <v>0</v>
      </c>
      <c r="K987">
        <f t="shared" si="115"/>
        <v>945</v>
      </c>
      <c r="L987" s="62">
        <f t="shared" si="118"/>
        <v>983</v>
      </c>
      <c r="M987" s="287">
        <v>1.36</v>
      </c>
      <c r="N987" s="284">
        <f>VLOOKUP(9960,季財報!A:N,8,0)</f>
        <v>0</v>
      </c>
    </row>
    <row r="988" spans="1:14">
      <c r="A988" s="184">
        <v>9912</v>
      </c>
      <c r="C988">
        <v>-18</v>
      </c>
      <c r="H988" s="197">
        <v>0</v>
      </c>
      <c r="I988">
        <f t="shared" si="117"/>
        <v>979</v>
      </c>
      <c r="J988" s="190">
        <v>0</v>
      </c>
      <c r="K988">
        <f t="shared" si="115"/>
        <v>945</v>
      </c>
      <c r="L988" s="62">
        <f t="shared" si="118"/>
        <v>983</v>
      </c>
      <c r="M988" s="287">
        <v>0.79</v>
      </c>
      <c r="N988" s="284">
        <f>VLOOKUP(9912,季財報!A:N,8,0)</f>
        <v>2</v>
      </c>
    </row>
    <row r="989" spans="1:14">
      <c r="A989" s="184">
        <v>9949</v>
      </c>
      <c r="C989">
        <v>-23</v>
      </c>
      <c r="H989" s="197">
        <v>0</v>
      </c>
      <c r="I989">
        <f t="shared" si="117"/>
        <v>979</v>
      </c>
      <c r="J989" s="190">
        <v>0</v>
      </c>
      <c r="K989">
        <f t="shared" si="115"/>
        <v>945</v>
      </c>
      <c r="L989" s="62">
        <f t="shared" si="118"/>
        <v>983</v>
      </c>
      <c r="M989" s="287">
        <v>1.36</v>
      </c>
      <c r="N989" s="284">
        <f>VLOOKUP(9949,季財報!A:N,8,0)</f>
        <v>1</v>
      </c>
    </row>
    <row r="990" spans="1:14">
      <c r="A990" s="184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197">
        <v>0</v>
      </c>
      <c r="I990">
        <f t="shared" si="117"/>
        <v>979</v>
      </c>
      <c r="J990" s="190">
        <v>0</v>
      </c>
      <c r="K990">
        <f t="shared" si="115"/>
        <v>945</v>
      </c>
      <c r="L990" s="62">
        <f t="shared" si="118"/>
        <v>983</v>
      </c>
      <c r="M990" s="287">
        <v>1.1399999999999999</v>
      </c>
      <c r="N990" s="284">
        <f>VLOOKUP(9918,季財報!A:N,8,0)</f>
        <v>2</v>
      </c>
    </row>
    <row r="991" spans="1:14">
      <c r="A991" s="184">
        <v>9929</v>
      </c>
      <c r="C991">
        <v>-31</v>
      </c>
      <c r="H991" s="197">
        <v>0</v>
      </c>
      <c r="I991">
        <f t="shared" si="117"/>
        <v>979</v>
      </c>
      <c r="J991" s="190">
        <v>0</v>
      </c>
      <c r="K991">
        <f t="shared" si="115"/>
        <v>945</v>
      </c>
      <c r="L991" s="62">
        <f t="shared" si="118"/>
        <v>983</v>
      </c>
      <c r="M991" s="287">
        <v>0.9</v>
      </c>
      <c r="N991" s="284">
        <f>VLOOKUP(9929,季財報!A:N,8,0)</f>
        <v>3</v>
      </c>
    </row>
    <row r="992" spans="1:14">
      <c r="A992" s="184">
        <v>8940</v>
      </c>
      <c r="C992">
        <v>-99</v>
      </c>
      <c r="H992" s="197">
        <v>0</v>
      </c>
      <c r="I992">
        <f t="shared" si="117"/>
        <v>979</v>
      </c>
      <c r="J992" s="190">
        <v>0</v>
      </c>
      <c r="K992">
        <f t="shared" si="115"/>
        <v>945</v>
      </c>
      <c r="L992" s="62">
        <f t="shared" si="118"/>
        <v>983</v>
      </c>
      <c r="M992" s="287">
        <v>0.79</v>
      </c>
      <c r="N992" s="284">
        <f>VLOOKUP(8940,季財報!A:N,8,0)</f>
        <v>1</v>
      </c>
    </row>
    <row r="993" spans="1:14">
      <c r="A993" s="184">
        <v>8924</v>
      </c>
      <c r="C993">
        <v>-40</v>
      </c>
      <c r="H993" s="197">
        <v>0</v>
      </c>
      <c r="I993">
        <f t="shared" si="117"/>
        <v>979</v>
      </c>
      <c r="J993" s="190">
        <v>0</v>
      </c>
      <c r="K993">
        <f t="shared" si="115"/>
        <v>945</v>
      </c>
      <c r="L993" s="62">
        <f t="shared" si="118"/>
        <v>983</v>
      </c>
      <c r="M993" s="287">
        <v>0.79</v>
      </c>
      <c r="N993" s="284">
        <f>VLOOKUP(8924,季財報!A:N,8,0)</f>
        <v>1</v>
      </c>
    </row>
    <row r="994" spans="1:14">
      <c r="A994" s="184">
        <v>8934</v>
      </c>
      <c r="C994">
        <v>-3</v>
      </c>
      <c r="H994" s="197">
        <v>0</v>
      </c>
      <c r="I994">
        <f t="shared" si="117"/>
        <v>979</v>
      </c>
      <c r="J994" s="190">
        <v>0</v>
      </c>
      <c r="K994">
        <f t="shared" si="115"/>
        <v>945</v>
      </c>
      <c r="L994" s="62">
        <f t="shared" si="118"/>
        <v>983</v>
      </c>
      <c r="M994" s="287">
        <v>1.76</v>
      </c>
      <c r="N994" s="284">
        <f>VLOOKUP(8934,季財報!A:N,8,0)</f>
        <v>2</v>
      </c>
    </row>
    <row r="995" spans="1:14">
      <c r="A995" s="184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197">
        <v>0</v>
      </c>
      <c r="I995">
        <f t="shared" si="117"/>
        <v>979</v>
      </c>
      <c r="J995" s="190">
        <v>0</v>
      </c>
      <c r="K995">
        <f t="shared" si="115"/>
        <v>945</v>
      </c>
      <c r="L995" s="62">
        <f t="shared" si="118"/>
        <v>983</v>
      </c>
      <c r="M995" s="287">
        <v>4.05</v>
      </c>
      <c r="N995" s="284">
        <f>VLOOKUP(8935,季財報!A:N,8,0)</f>
        <v>2</v>
      </c>
    </row>
    <row r="996" spans="1:14">
      <c r="A996" s="184">
        <v>9902</v>
      </c>
      <c r="C996">
        <v>-3</v>
      </c>
      <c r="H996" s="197">
        <v>0</v>
      </c>
      <c r="I996">
        <f t="shared" si="117"/>
        <v>979</v>
      </c>
      <c r="J996" s="190">
        <v>0</v>
      </c>
      <c r="K996">
        <f t="shared" si="115"/>
        <v>945</v>
      </c>
      <c r="L996" s="62">
        <f t="shared" si="118"/>
        <v>983</v>
      </c>
      <c r="M996" s="287">
        <v>4.08</v>
      </c>
      <c r="N996" s="284">
        <f>VLOOKUP(9902,季財報!A:N,8,0)</f>
        <v>2</v>
      </c>
    </row>
    <row r="997" spans="1:14">
      <c r="A997" s="184">
        <v>8409</v>
      </c>
      <c r="C997">
        <v>-9</v>
      </c>
      <c r="H997" s="197">
        <v>0</v>
      </c>
      <c r="I997">
        <f t="shared" si="117"/>
        <v>979</v>
      </c>
      <c r="J997" s="190">
        <v>0</v>
      </c>
      <c r="K997">
        <f t="shared" si="115"/>
        <v>945</v>
      </c>
      <c r="L997" s="62">
        <f t="shared" si="118"/>
        <v>983</v>
      </c>
      <c r="M997" s="287">
        <v>0.87</v>
      </c>
      <c r="N997" s="284">
        <f>VLOOKUP(8409,季財報!A:N,8,0)</f>
        <v>2</v>
      </c>
    </row>
    <row r="998" spans="1:14">
      <c r="A998" s="184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197">
        <v>0</v>
      </c>
      <c r="I998">
        <f t="shared" si="117"/>
        <v>979</v>
      </c>
      <c r="J998" s="190">
        <v>0</v>
      </c>
      <c r="K998">
        <f t="shared" si="115"/>
        <v>945</v>
      </c>
      <c r="L998" s="62">
        <f t="shared" si="118"/>
        <v>983</v>
      </c>
      <c r="M998" s="287">
        <v>0.79</v>
      </c>
      <c r="N998" s="284">
        <f>VLOOKUP(8410,季財報!A:N,8,0)</f>
        <v>3</v>
      </c>
    </row>
    <row r="999" spans="1:14">
      <c r="A999" s="184">
        <v>8906</v>
      </c>
      <c r="C999">
        <v>-1</v>
      </c>
      <c r="H999" s="197">
        <v>0</v>
      </c>
      <c r="I999">
        <f t="shared" si="117"/>
        <v>979</v>
      </c>
      <c r="J999" s="190">
        <v>0</v>
      </c>
      <c r="K999">
        <f t="shared" si="115"/>
        <v>945</v>
      </c>
      <c r="L999" s="62">
        <f t="shared" si="118"/>
        <v>983</v>
      </c>
      <c r="M999" s="287">
        <v>0.79</v>
      </c>
      <c r="N999" s="284">
        <f>VLOOKUP(8906,季財報!A:N,8,0)</f>
        <v>2</v>
      </c>
    </row>
    <row r="1000" spans="1:14">
      <c r="A1000" s="184">
        <v>8925</v>
      </c>
      <c r="C1000">
        <v>-183</v>
      </c>
      <c r="H1000" s="197">
        <v>0</v>
      </c>
      <c r="I1000">
        <f t="shared" si="117"/>
        <v>979</v>
      </c>
      <c r="J1000" s="190">
        <v>0</v>
      </c>
      <c r="K1000">
        <f t="shared" si="115"/>
        <v>945</v>
      </c>
      <c r="L1000" s="62">
        <f t="shared" si="118"/>
        <v>983</v>
      </c>
      <c r="M1000" s="287">
        <v>0.79</v>
      </c>
      <c r="N1000" s="284">
        <f>VLOOKUP(8925,季財報!A:N,8,0)</f>
        <v>3</v>
      </c>
    </row>
    <row r="1001" spans="1:14">
      <c r="A1001" s="184">
        <v>8927</v>
      </c>
      <c r="C1001">
        <v>-16</v>
      </c>
      <c r="H1001" s="197">
        <v>0</v>
      </c>
      <c r="I1001">
        <f t="shared" si="117"/>
        <v>979</v>
      </c>
      <c r="J1001" s="190">
        <v>0</v>
      </c>
      <c r="K1001">
        <f t="shared" si="115"/>
        <v>945</v>
      </c>
      <c r="L1001" s="62">
        <f t="shared" si="118"/>
        <v>983</v>
      </c>
      <c r="M1001" s="287">
        <v>0.79</v>
      </c>
      <c r="N1001" s="284">
        <f>VLOOKUP(8927,季財報!A:N,8,0)</f>
        <v>3</v>
      </c>
    </row>
    <row r="1002" spans="1:14">
      <c r="A1002" s="184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197">
        <v>0</v>
      </c>
      <c r="I1002">
        <f t="shared" si="117"/>
        <v>979</v>
      </c>
      <c r="J1002" s="190">
        <v>0</v>
      </c>
      <c r="K1002">
        <f t="shared" si="115"/>
        <v>945</v>
      </c>
      <c r="L1002" s="62">
        <f t="shared" si="118"/>
        <v>983</v>
      </c>
      <c r="M1002" s="287">
        <v>0.79</v>
      </c>
      <c r="N1002" s="284">
        <f>VLOOKUP(8928,季財報!A:N,8,0)</f>
        <v>3</v>
      </c>
    </row>
    <row r="1003" spans="1:14">
      <c r="A1003" s="184">
        <v>8930</v>
      </c>
      <c r="C1003">
        <v>-11</v>
      </c>
      <c r="H1003" s="197">
        <v>0</v>
      </c>
      <c r="I1003">
        <f t="shared" si="117"/>
        <v>979</v>
      </c>
      <c r="J1003" s="190">
        <v>0</v>
      </c>
      <c r="K1003">
        <f t="shared" si="115"/>
        <v>945</v>
      </c>
      <c r="L1003" s="62">
        <f t="shared" si="118"/>
        <v>983</v>
      </c>
      <c r="M1003" s="287">
        <v>4.05</v>
      </c>
      <c r="N1003" s="284">
        <f>VLOOKUP(8930,季財報!A:N,8,0)</f>
        <v>1</v>
      </c>
    </row>
    <row r="1004" spans="1:14">
      <c r="A1004" s="184">
        <v>8941</v>
      </c>
      <c r="C1004">
        <v>-9</v>
      </c>
      <c r="H1004" s="197">
        <v>0</v>
      </c>
      <c r="I1004">
        <f t="shared" si="117"/>
        <v>979</v>
      </c>
      <c r="J1004" s="190">
        <v>0</v>
      </c>
      <c r="K1004">
        <f t="shared" si="115"/>
        <v>945</v>
      </c>
      <c r="L1004" s="62">
        <f t="shared" si="118"/>
        <v>983</v>
      </c>
      <c r="M1004" s="287">
        <v>2.69</v>
      </c>
      <c r="N1004" s="284">
        <f>VLOOKUP(8941,季財報!A:N,8,0)</f>
        <v>1</v>
      </c>
    </row>
    <row r="1005" spans="1:14">
      <c r="A1005" s="184">
        <v>9919</v>
      </c>
      <c r="C1005">
        <v>-14</v>
      </c>
      <c r="H1005" s="197">
        <v>0</v>
      </c>
      <c r="I1005">
        <f t="shared" si="117"/>
        <v>979</v>
      </c>
      <c r="J1005" s="190">
        <v>0</v>
      </c>
      <c r="K1005">
        <f t="shared" si="115"/>
        <v>945</v>
      </c>
      <c r="L1005" s="62">
        <f t="shared" si="118"/>
        <v>983</v>
      </c>
      <c r="M1005" s="287">
        <v>9.26</v>
      </c>
      <c r="N1005" s="284">
        <f>VLOOKUP(9919,季財報!A:N,8,0)</f>
        <v>1</v>
      </c>
    </row>
    <row r="1006" spans="1:14">
      <c r="A1006" s="184">
        <v>9928</v>
      </c>
      <c r="C1006">
        <v>-79</v>
      </c>
      <c r="H1006" s="197">
        <v>0</v>
      </c>
      <c r="I1006">
        <f t="shared" si="117"/>
        <v>979</v>
      </c>
      <c r="J1006" s="190">
        <v>0</v>
      </c>
      <c r="K1006">
        <f t="shared" si="115"/>
        <v>945</v>
      </c>
      <c r="L1006" s="62">
        <f t="shared" si="118"/>
        <v>983</v>
      </c>
      <c r="M1006" s="287">
        <v>0.79</v>
      </c>
      <c r="N1006" s="284">
        <f>VLOOKUP(9928,季財報!A:N,8,0)</f>
        <v>2</v>
      </c>
    </row>
    <row r="1007" spans="1:14">
      <c r="A1007" s="184">
        <v>8033</v>
      </c>
      <c r="C1007">
        <v>-39</v>
      </c>
      <c r="H1007" s="197">
        <v>0</v>
      </c>
      <c r="I1007">
        <f t="shared" si="117"/>
        <v>979</v>
      </c>
      <c r="J1007" s="190">
        <v>0</v>
      </c>
      <c r="K1007">
        <f t="shared" si="115"/>
        <v>945</v>
      </c>
      <c r="L1007" s="62">
        <f t="shared" si="118"/>
        <v>983</v>
      </c>
      <c r="M1007" s="287">
        <v>0.79</v>
      </c>
      <c r="N1007" s="284">
        <f>VLOOKUP(8033,季財報!A:N,8,0)</f>
        <v>1</v>
      </c>
    </row>
    <row r="1008" spans="1:14">
      <c r="A1008" s="184">
        <v>8103</v>
      </c>
      <c r="C1008">
        <v>-89</v>
      </c>
      <c r="H1008" s="197">
        <v>0</v>
      </c>
      <c r="I1008">
        <f t="shared" si="117"/>
        <v>979</v>
      </c>
      <c r="J1008" s="190">
        <v>0</v>
      </c>
      <c r="K1008">
        <f t="shared" si="115"/>
        <v>945</v>
      </c>
      <c r="L1008" s="62">
        <f t="shared" si="118"/>
        <v>983</v>
      </c>
      <c r="M1008" s="287">
        <v>0.79</v>
      </c>
      <c r="N1008" s="284">
        <f>VLOOKUP(8103,季財報!A:N,8,0)</f>
        <v>1</v>
      </c>
    </row>
    <row r="1009" spans="1:14">
      <c r="A1009" s="184">
        <v>8266</v>
      </c>
      <c r="C1009">
        <v>-38</v>
      </c>
      <c r="H1009" s="197">
        <v>0</v>
      </c>
      <c r="I1009">
        <f t="shared" si="117"/>
        <v>979</v>
      </c>
      <c r="J1009" s="190">
        <v>0</v>
      </c>
      <c r="K1009">
        <f t="shared" si="115"/>
        <v>945</v>
      </c>
      <c r="L1009" s="62">
        <f t="shared" si="118"/>
        <v>983</v>
      </c>
      <c r="M1009" s="287">
        <v>4.5199999999999996</v>
      </c>
      <c r="N1009" s="284">
        <f>VLOOKUP(8266,季財報!A:N,8,0)</f>
        <v>3</v>
      </c>
    </row>
    <row r="1010" spans="1:14">
      <c r="A1010" s="184">
        <v>8277</v>
      </c>
      <c r="C1010">
        <v>-10</v>
      </c>
      <c r="H1010" s="197">
        <v>0</v>
      </c>
      <c r="I1010">
        <f t="shared" si="117"/>
        <v>979</v>
      </c>
      <c r="J1010" s="190">
        <v>0</v>
      </c>
      <c r="K1010">
        <f t="shared" si="115"/>
        <v>945</v>
      </c>
      <c r="L1010" s="62">
        <f t="shared" si="118"/>
        <v>983</v>
      </c>
      <c r="M1010" s="287">
        <v>0.79</v>
      </c>
      <c r="N1010" s="284">
        <f>VLOOKUP(8277,季財報!A:N,8,0)</f>
        <v>2</v>
      </c>
    </row>
    <row r="1011" spans="1:14">
      <c r="A1011" s="184">
        <v>8291</v>
      </c>
      <c r="C1011">
        <v>-20</v>
      </c>
      <c r="H1011" s="197">
        <v>0</v>
      </c>
      <c r="I1011">
        <f t="shared" si="117"/>
        <v>979</v>
      </c>
      <c r="J1011" s="190">
        <v>0</v>
      </c>
      <c r="K1011">
        <f t="shared" si="115"/>
        <v>945</v>
      </c>
      <c r="L1011" s="62">
        <f t="shared" si="118"/>
        <v>983</v>
      </c>
      <c r="M1011" s="287">
        <v>0.79</v>
      </c>
      <c r="N1011" s="284">
        <f>VLOOKUP(8291,季財報!A:N,8,0)</f>
        <v>0</v>
      </c>
    </row>
    <row r="1012" spans="1:14">
      <c r="A1012" s="184">
        <v>8418</v>
      </c>
      <c r="C1012">
        <v>-17</v>
      </c>
      <c r="H1012" s="197">
        <v>0</v>
      </c>
      <c r="I1012">
        <f t="shared" si="117"/>
        <v>979</v>
      </c>
      <c r="J1012" s="190">
        <v>0</v>
      </c>
      <c r="K1012">
        <f t="shared" si="115"/>
        <v>945</v>
      </c>
      <c r="L1012" s="62">
        <f t="shared" si="118"/>
        <v>983</v>
      </c>
      <c r="M1012" s="287">
        <v>1.58</v>
      </c>
      <c r="N1012" s="284">
        <f>VLOOKUP(8418,季財報!A:N,8,0)</f>
        <v>1</v>
      </c>
    </row>
    <row r="1013" spans="1:14">
      <c r="A1013" s="184">
        <v>8427</v>
      </c>
      <c r="C1013">
        <v>-147</v>
      </c>
      <c r="H1013" s="197">
        <v>0</v>
      </c>
      <c r="I1013">
        <f t="shared" si="117"/>
        <v>979</v>
      </c>
      <c r="J1013" s="190">
        <v>0</v>
      </c>
      <c r="K1013">
        <f t="shared" si="115"/>
        <v>945</v>
      </c>
      <c r="L1013" s="62">
        <f t="shared" si="118"/>
        <v>983</v>
      </c>
      <c r="M1013" s="287">
        <v>0.79</v>
      </c>
      <c r="N1013" s="284">
        <f>VLOOKUP(8427,季財報!A:N,8,0)</f>
        <v>1</v>
      </c>
    </row>
    <row r="1014" spans="1:14">
      <c r="A1014" s="184">
        <v>8431</v>
      </c>
      <c r="C1014">
        <v>-62</v>
      </c>
      <c r="H1014" s="197">
        <v>0</v>
      </c>
      <c r="I1014">
        <f t="shared" si="117"/>
        <v>979</v>
      </c>
      <c r="J1014" s="190">
        <v>0</v>
      </c>
      <c r="K1014">
        <f t="shared" si="115"/>
        <v>945</v>
      </c>
      <c r="L1014" s="62">
        <f t="shared" si="118"/>
        <v>983</v>
      </c>
      <c r="M1014" s="287">
        <v>0.79</v>
      </c>
      <c r="N1014" s="284">
        <f>VLOOKUP(8431,季財報!A:N,8,0)</f>
        <v>1</v>
      </c>
    </row>
    <row r="1015" spans="1:14">
      <c r="A1015" s="184">
        <v>8938</v>
      </c>
      <c r="C1015">
        <v>-63</v>
      </c>
      <c r="H1015" s="197">
        <v>0</v>
      </c>
      <c r="I1015">
        <f t="shared" si="117"/>
        <v>979</v>
      </c>
      <c r="J1015" s="190">
        <v>0</v>
      </c>
      <c r="K1015">
        <f t="shared" si="115"/>
        <v>945</v>
      </c>
      <c r="L1015" s="62">
        <f t="shared" si="118"/>
        <v>983</v>
      </c>
      <c r="M1015" s="287">
        <v>0.79</v>
      </c>
      <c r="N1015" s="284">
        <f>VLOOKUP(8938,季財報!A:N,8,0)</f>
        <v>2</v>
      </c>
    </row>
    <row r="1016" spans="1:14">
      <c r="A1016" s="184">
        <v>9906</v>
      </c>
      <c r="C1016">
        <v>-2</v>
      </c>
      <c r="H1016" s="197">
        <v>0</v>
      </c>
      <c r="I1016">
        <f t="shared" si="117"/>
        <v>979</v>
      </c>
      <c r="J1016" s="190">
        <v>0</v>
      </c>
      <c r="K1016">
        <f t="shared" ref="K1016:K1079" si="119">RANK(0,J:J,0)</f>
        <v>945</v>
      </c>
      <c r="L1016" s="62">
        <f t="shared" si="118"/>
        <v>983</v>
      </c>
      <c r="M1016" s="287">
        <v>0.87</v>
      </c>
      <c r="N1016" s="284" t="e">
        <f>VLOOKUP(9906,季財報!A:N,8,0)</f>
        <v>#N/A</v>
      </c>
    </row>
    <row r="1017" spans="1:14">
      <c r="A1017" s="184">
        <v>6222</v>
      </c>
      <c r="C1017">
        <v>-33</v>
      </c>
      <c r="H1017" s="197">
        <v>0</v>
      </c>
      <c r="I1017">
        <f t="shared" si="117"/>
        <v>979</v>
      </c>
      <c r="J1017" s="190">
        <v>0</v>
      </c>
      <c r="K1017">
        <f t="shared" si="119"/>
        <v>945</v>
      </c>
      <c r="L1017" s="62">
        <f t="shared" si="118"/>
        <v>983</v>
      </c>
      <c r="M1017" s="287">
        <v>0.79</v>
      </c>
      <c r="N1017" s="284">
        <f>VLOOKUP(6222,季財報!A:N,8,0)</f>
        <v>0</v>
      </c>
    </row>
    <row r="1018" spans="1:14">
      <c r="A1018" s="184">
        <v>6419</v>
      </c>
      <c r="C1018">
        <v>-4</v>
      </c>
      <c r="H1018" s="197">
        <v>0</v>
      </c>
      <c r="I1018">
        <f t="shared" si="117"/>
        <v>979</v>
      </c>
      <c r="J1018" s="190">
        <v>0</v>
      </c>
      <c r="K1018">
        <f t="shared" si="119"/>
        <v>945</v>
      </c>
      <c r="L1018" s="62">
        <f t="shared" si="118"/>
        <v>983</v>
      </c>
      <c r="M1018" s="287">
        <v>0.79</v>
      </c>
      <c r="N1018" s="284">
        <f>VLOOKUP(6419,季財報!A:N,8,0)</f>
        <v>0</v>
      </c>
    </row>
    <row r="1019" spans="1:14">
      <c r="A1019" s="184">
        <v>6431</v>
      </c>
      <c r="C1019">
        <v>-29</v>
      </c>
      <c r="H1019" s="197">
        <v>0</v>
      </c>
      <c r="I1019">
        <f t="shared" si="117"/>
        <v>979</v>
      </c>
      <c r="J1019" s="190">
        <v>0</v>
      </c>
      <c r="K1019">
        <f t="shared" si="119"/>
        <v>945</v>
      </c>
      <c r="L1019" s="62">
        <f t="shared" si="118"/>
        <v>983</v>
      </c>
      <c r="M1019" s="287">
        <v>0.79</v>
      </c>
      <c r="N1019" s="284">
        <f>VLOOKUP(6431,季財報!A:N,8,0)</f>
        <v>1</v>
      </c>
    </row>
    <row r="1020" spans="1:14">
      <c r="A1020" s="184">
        <v>8053</v>
      </c>
      <c r="C1020">
        <v>-147</v>
      </c>
      <c r="H1020" s="197">
        <v>0</v>
      </c>
      <c r="I1020">
        <f t="shared" si="117"/>
        <v>979</v>
      </c>
      <c r="J1020" s="190">
        <v>0</v>
      </c>
      <c r="K1020">
        <f t="shared" si="119"/>
        <v>945</v>
      </c>
      <c r="L1020" s="62">
        <f t="shared" si="118"/>
        <v>983</v>
      </c>
      <c r="M1020" s="287">
        <v>0.79</v>
      </c>
      <c r="N1020" s="284">
        <f>VLOOKUP(8053,季財報!A:N,8,0)</f>
        <v>2</v>
      </c>
    </row>
    <row r="1021" spans="1:14">
      <c r="A1021" s="184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197">
        <v>0</v>
      </c>
      <c r="I1021">
        <f t="shared" si="117"/>
        <v>979</v>
      </c>
      <c r="J1021" s="190">
        <v>0</v>
      </c>
      <c r="K1021">
        <f t="shared" si="119"/>
        <v>945</v>
      </c>
      <c r="L1021" s="62">
        <f t="shared" si="118"/>
        <v>983</v>
      </c>
      <c r="M1021" s="287">
        <v>0.79</v>
      </c>
      <c r="N1021" s="284">
        <f>VLOOKUP(8054,季財報!A:N,8,0)</f>
        <v>1</v>
      </c>
    </row>
    <row r="1022" spans="1:14">
      <c r="A1022" s="184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197">
        <v>0</v>
      </c>
      <c r="I1022">
        <f t="shared" si="117"/>
        <v>979</v>
      </c>
      <c r="J1022" s="190">
        <v>0</v>
      </c>
      <c r="K1022">
        <f t="shared" si="119"/>
        <v>945</v>
      </c>
      <c r="L1022" s="62">
        <f t="shared" si="118"/>
        <v>983</v>
      </c>
      <c r="M1022" s="287">
        <v>0.79</v>
      </c>
      <c r="N1022" s="284">
        <f>VLOOKUP(8059,季財報!A:N,8,0)</f>
        <v>1</v>
      </c>
    </row>
    <row r="1023" spans="1:14">
      <c r="A1023" s="184">
        <v>8064</v>
      </c>
      <c r="C1023">
        <v>-30</v>
      </c>
      <c r="H1023" s="197">
        <v>0</v>
      </c>
      <c r="I1023">
        <f t="shared" si="117"/>
        <v>979</v>
      </c>
      <c r="J1023" s="190">
        <v>0</v>
      </c>
      <c r="K1023">
        <f t="shared" si="119"/>
        <v>945</v>
      </c>
      <c r="L1023" s="62">
        <f t="shared" si="118"/>
        <v>983</v>
      </c>
      <c r="M1023" s="287">
        <v>0.79</v>
      </c>
      <c r="N1023" s="284">
        <f>VLOOKUP(8064,季財報!A:N,8,0)</f>
        <v>1</v>
      </c>
    </row>
    <row r="1024" spans="1:14">
      <c r="A1024" s="184">
        <v>8067</v>
      </c>
      <c r="C1024">
        <v>0</v>
      </c>
      <c r="H1024" s="197">
        <v>0</v>
      </c>
      <c r="I1024">
        <f t="shared" si="117"/>
        <v>979</v>
      </c>
      <c r="J1024" s="190">
        <v>0</v>
      </c>
      <c r="K1024">
        <f t="shared" si="119"/>
        <v>945</v>
      </c>
      <c r="L1024" s="62">
        <f t="shared" si="118"/>
        <v>983</v>
      </c>
      <c r="M1024" s="287">
        <v>0.79</v>
      </c>
      <c r="N1024" s="284">
        <f>VLOOKUP(8067,季財報!A:N,8,0)</f>
        <v>2</v>
      </c>
    </row>
    <row r="1025" spans="1:14">
      <c r="A1025" s="184">
        <v>8068</v>
      </c>
      <c r="C1025">
        <v>-2</v>
      </c>
      <c r="H1025" s="197">
        <v>0</v>
      </c>
      <c r="I1025">
        <f t="shared" si="117"/>
        <v>979</v>
      </c>
      <c r="J1025" s="190">
        <v>0</v>
      </c>
      <c r="K1025">
        <f t="shared" si="119"/>
        <v>945</v>
      </c>
      <c r="L1025" s="62">
        <f t="shared" si="118"/>
        <v>983</v>
      </c>
      <c r="M1025" s="287">
        <v>0.79</v>
      </c>
      <c r="N1025" s="284">
        <f>VLOOKUP(8068,季財報!A:N,8,0)</f>
        <v>1</v>
      </c>
    </row>
    <row r="1026" spans="1:14">
      <c r="A1026" s="184">
        <v>8071</v>
      </c>
      <c r="C1026">
        <v>-31</v>
      </c>
      <c r="H1026" s="197">
        <v>0</v>
      </c>
      <c r="I1026">
        <f t="shared" si="117"/>
        <v>979</v>
      </c>
      <c r="J1026" s="190">
        <v>0</v>
      </c>
      <c r="K1026">
        <f t="shared" si="119"/>
        <v>945</v>
      </c>
      <c r="L1026" s="62">
        <f t="shared" si="118"/>
        <v>983</v>
      </c>
      <c r="M1026" s="287">
        <v>1.01</v>
      </c>
      <c r="N1026" s="284">
        <f>VLOOKUP(8071,季財報!A:N,8,0)</f>
        <v>1</v>
      </c>
    </row>
    <row r="1027" spans="1:14">
      <c r="A1027" s="184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197">
        <v>0</v>
      </c>
      <c r="I1027">
        <f t="shared" si="117"/>
        <v>979</v>
      </c>
      <c r="J1027" s="190">
        <v>0</v>
      </c>
      <c r="K1027">
        <f t="shared" si="119"/>
        <v>945</v>
      </c>
      <c r="L1027" s="62">
        <f t="shared" si="118"/>
        <v>983</v>
      </c>
      <c r="M1027" s="287">
        <v>1.36</v>
      </c>
      <c r="N1027" s="284">
        <f>VLOOKUP(8072,季財報!A:N,8,0)</f>
        <v>2</v>
      </c>
    </row>
    <row r="1028" spans="1:14">
      <c r="A1028" s="184">
        <v>8077</v>
      </c>
      <c r="C1028">
        <v>-6</v>
      </c>
      <c r="H1028" s="197">
        <v>0</v>
      </c>
      <c r="I1028">
        <f t="shared" si="117"/>
        <v>979</v>
      </c>
      <c r="J1028" s="190">
        <v>0</v>
      </c>
      <c r="K1028">
        <f t="shared" si="119"/>
        <v>945</v>
      </c>
      <c r="L1028" s="62">
        <f t="shared" si="118"/>
        <v>983</v>
      </c>
      <c r="M1028" s="287">
        <v>0.79</v>
      </c>
      <c r="N1028" s="284">
        <f>VLOOKUP(8077,季財報!A:N,8,0)</f>
        <v>4</v>
      </c>
    </row>
    <row r="1029" spans="1:14">
      <c r="A1029" s="184">
        <v>8080</v>
      </c>
      <c r="C1029">
        <v>-17</v>
      </c>
      <c r="H1029" s="197">
        <v>0</v>
      </c>
      <c r="I1029">
        <f t="shared" si="117"/>
        <v>979</v>
      </c>
      <c r="J1029" s="190">
        <v>0</v>
      </c>
      <c r="K1029">
        <f t="shared" si="119"/>
        <v>945</v>
      </c>
      <c r="L1029" s="62">
        <f t="shared" si="118"/>
        <v>983</v>
      </c>
      <c r="M1029" s="287">
        <v>2.76</v>
      </c>
      <c r="N1029" s="284">
        <f>VLOOKUP(8080,季財報!A:N,8,0)</f>
        <v>1</v>
      </c>
    </row>
    <row r="1030" spans="1:14">
      <c r="A1030" s="184">
        <v>8082</v>
      </c>
      <c r="C1030">
        <v>-6</v>
      </c>
      <c r="H1030" s="197">
        <v>0</v>
      </c>
      <c r="I1030">
        <f t="shared" si="117"/>
        <v>979</v>
      </c>
      <c r="J1030" s="190">
        <v>0</v>
      </c>
      <c r="K1030">
        <f t="shared" si="119"/>
        <v>945</v>
      </c>
      <c r="L1030" s="62">
        <f t="shared" si="118"/>
        <v>983</v>
      </c>
      <c r="M1030" s="287">
        <v>1.01</v>
      </c>
      <c r="N1030" s="284">
        <f>VLOOKUP(8082,季財報!A:N,8,0)</f>
        <v>1</v>
      </c>
    </row>
    <row r="1031" spans="1:14">
      <c r="A1031" s="184">
        <v>8084</v>
      </c>
      <c r="C1031">
        <v>-68</v>
      </c>
      <c r="H1031" s="197">
        <v>0</v>
      </c>
      <c r="I1031">
        <f t="shared" si="117"/>
        <v>979</v>
      </c>
      <c r="J1031" s="190">
        <v>0</v>
      </c>
      <c r="K1031">
        <f t="shared" si="119"/>
        <v>945</v>
      </c>
      <c r="L1031" s="62">
        <f t="shared" si="118"/>
        <v>983</v>
      </c>
      <c r="M1031" s="287">
        <v>0.79</v>
      </c>
      <c r="N1031" s="284">
        <f>VLOOKUP(8084,季財報!A:N,8,0)</f>
        <v>1</v>
      </c>
    </row>
    <row r="1032" spans="1:14">
      <c r="A1032" s="184">
        <v>8085</v>
      </c>
      <c r="C1032">
        <v>-32</v>
      </c>
      <c r="H1032" s="197">
        <v>0</v>
      </c>
      <c r="I1032">
        <f t="shared" si="117"/>
        <v>979</v>
      </c>
      <c r="J1032" s="190">
        <v>0</v>
      </c>
      <c r="K1032">
        <f t="shared" si="119"/>
        <v>945</v>
      </c>
      <c r="L1032" s="62">
        <f t="shared" si="118"/>
        <v>983</v>
      </c>
      <c r="M1032" s="287">
        <v>0.79</v>
      </c>
      <c r="N1032" s="284">
        <f>VLOOKUP(8085,季財報!A:N,8,0)</f>
        <v>2</v>
      </c>
    </row>
    <row r="1033" spans="1:14">
      <c r="A1033" s="184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197">
        <v>0</v>
      </c>
      <c r="I1033">
        <f t="shared" si="117"/>
        <v>979</v>
      </c>
      <c r="J1033" s="190">
        <v>0</v>
      </c>
      <c r="K1033">
        <f t="shared" si="119"/>
        <v>945</v>
      </c>
      <c r="L1033" s="62">
        <f t="shared" si="118"/>
        <v>983</v>
      </c>
      <c r="M1033" s="287">
        <v>0.79</v>
      </c>
      <c r="N1033" s="284">
        <f>VLOOKUP(8107,季財報!A:N,8,0)</f>
        <v>5</v>
      </c>
    </row>
    <row r="1034" spans="1:14">
      <c r="A1034" s="184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197">
        <v>0</v>
      </c>
      <c r="I1034">
        <f t="shared" si="117"/>
        <v>979</v>
      </c>
      <c r="J1034" s="190">
        <v>0</v>
      </c>
      <c r="K1034">
        <f t="shared" si="119"/>
        <v>945</v>
      </c>
      <c r="L1034" s="62">
        <f t="shared" si="118"/>
        <v>983</v>
      </c>
      <c r="M1034" s="287">
        <v>0.79</v>
      </c>
      <c r="N1034" s="284">
        <f>VLOOKUP(8110,季財報!A:N,8,0)</f>
        <v>4</v>
      </c>
    </row>
    <row r="1035" spans="1:14">
      <c r="A1035" s="184">
        <v>8111</v>
      </c>
      <c r="C1035">
        <v>-27</v>
      </c>
      <c r="H1035" s="197">
        <v>0</v>
      </c>
      <c r="I1035">
        <f t="shared" si="117"/>
        <v>979</v>
      </c>
      <c r="J1035" s="190">
        <v>0</v>
      </c>
      <c r="K1035">
        <f t="shared" si="119"/>
        <v>945</v>
      </c>
      <c r="L1035" s="62">
        <f t="shared" si="118"/>
        <v>983</v>
      </c>
      <c r="M1035" s="287">
        <v>0.79</v>
      </c>
      <c r="N1035" s="284">
        <f>VLOOKUP(8111,季財報!A:N,8,0)</f>
        <v>2</v>
      </c>
    </row>
    <row r="1036" spans="1:14">
      <c r="A1036" s="184">
        <v>8121</v>
      </c>
      <c r="C1036">
        <v>-136</v>
      </c>
      <c r="H1036" s="197">
        <v>0</v>
      </c>
      <c r="I1036">
        <f t="shared" si="117"/>
        <v>979</v>
      </c>
      <c r="J1036" s="190">
        <v>0</v>
      </c>
      <c r="K1036">
        <f t="shared" si="119"/>
        <v>945</v>
      </c>
      <c r="L1036" s="62">
        <f t="shared" si="118"/>
        <v>983</v>
      </c>
      <c r="M1036" s="287">
        <v>0.79</v>
      </c>
      <c r="N1036" s="284">
        <f>VLOOKUP(8121,季財報!A:N,8,0)</f>
        <v>1</v>
      </c>
    </row>
    <row r="1037" spans="1:14">
      <c r="A1037" s="184">
        <v>8171</v>
      </c>
      <c r="C1037">
        <v>-22</v>
      </c>
      <c r="H1037" s="197">
        <v>0</v>
      </c>
      <c r="I1037">
        <f t="shared" si="117"/>
        <v>979</v>
      </c>
      <c r="J1037" s="190">
        <v>0</v>
      </c>
      <c r="K1037">
        <f t="shared" si="119"/>
        <v>945</v>
      </c>
      <c r="L1037" s="62">
        <f t="shared" si="118"/>
        <v>983</v>
      </c>
      <c r="M1037" s="287">
        <v>1.1399999999999999</v>
      </c>
      <c r="N1037" s="284">
        <f>VLOOKUP(8171,季財報!A:N,8,0)</f>
        <v>2</v>
      </c>
    </row>
    <row r="1038" spans="1:14">
      <c r="A1038" s="184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197">
        <v>0</v>
      </c>
      <c r="I1038">
        <f t="shared" si="117"/>
        <v>979</v>
      </c>
      <c r="J1038" s="190">
        <v>0</v>
      </c>
      <c r="K1038">
        <f t="shared" si="119"/>
        <v>945</v>
      </c>
      <c r="L1038" s="62">
        <f t="shared" si="118"/>
        <v>983</v>
      </c>
      <c r="M1038" s="287">
        <v>4.1500000000000004</v>
      </c>
      <c r="N1038" s="284">
        <f>VLOOKUP(8176,季財報!A:N,8,0)</f>
        <v>5</v>
      </c>
    </row>
    <row r="1039" spans="1:14">
      <c r="A1039" s="184">
        <v>8183</v>
      </c>
      <c r="C1039">
        <v>-7</v>
      </c>
      <c r="H1039" s="197">
        <v>0</v>
      </c>
      <c r="I1039">
        <f t="shared" si="117"/>
        <v>979</v>
      </c>
      <c r="J1039" s="190">
        <v>0</v>
      </c>
      <c r="K1039">
        <f t="shared" si="119"/>
        <v>945</v>
      </c>
      <c r="L1039" s="62">
        <f t="shared" si="118"/>
        <v>983</v>
      </c>
      <c r="M1039" s="287">
        <v>0.79</v>
      </c>
      <c r="N1039" s="284">
        <f>VLOOKUP(8183,季財報!A:N,8,0)</f>
        <v>4</v>
      </c>
    </row>
    <row r="1040" spans="1:14">
      <c r="A1040" s="184">
        <v>8201</v>
      </c>
      <c r="C1040">
        <v>-77</v>
      </c>
      <c r="H1040" s="197">
        <v>0</v>
      </c>
      <c r="I1040">
        <f t="shared" si="117"/>
        <v>979</v>
      </c>
      <c r="J1040" s="190">
        <v>0</v>
      </c>
      <c r="K1040">
        <f t="shared" si="119"/>
        <v>945</v>
      </c>
      <c r="L1040" s="62">
        <f t="shared" si="118"/>
        <v>983</v>
      </c>
      <c r="M1040" s="287">
        <v>0.79</v>
      </c>
      <c r="N1040" s="284">
        <f>VLOOKUP(8201,季財報!A:N,8,0)</f>
        <v>3</v>
      </c>
    </row>
    <row r="1041" spans="1:14">
      <c r="A1041" s="184">
        <v>8358</v>
      </c>
      <c r="C1041">
        <v>-49</v>
      </c>
      <c r="H1041" s="197">
        <v>0</v>
      </c>
      <c r="I1041">
        <f t="shared" si="117"/>
        <v>979</v>
      </c>
      <c r="J1041" s="190">
        <v>0</v>
      </c>
      <c r="K1041">
        <f t="shared" si="119"/>
        <v>945</v>
      </c>
      <c r="L1041" s="62">
        <f t="shared" si="118"/>
        <v>983</v>
      </c>
      <c r="M1041" s="287">
        <v>0.79</v>
      </c>
      <c r="N1041" s="284">
        <f>VLOOKUP(8358,季財報!A:N,8,0)</f>
        <v>3</v>
      </c>
    </row>
    <row r="1042" spans="1:14">
      <c r="A1042" s="184">
        <v>8374</v>
      </c>
      <c r="C1042">
        <v>-41</v>
      </c>
      <c r="H1042" s="197">
        <v>0</v>
      </c>
      <c r="I1042">
        <f t="shared" si="117"/>
        <v>979</v>
      </c>
      <c r="J1042" s="190">
        <v>0</v>
      </c>
      <c r="K1042">
        <f t="shared" si="119"/>
        <v>945</v>
      </c>
      <c r="L1042" s="62">
        <f t="shared" si="118"/>
        <v>983</v>
      </c>
      <c r="M1042" s="287">
        <v>6.28</v>
      </c>
      <c r="N1042" s="284">
        <f>VLOOKUP(8374,季財報!A:N,8,0)</f>
        <v>0</v>
      </c>
    </row>
    <row r="1043" spans="1:14">
      <c r="A1043" s="184">
        <v>8390</v>
      </c>
      <c r="C1043">
        <v>-40</v>
      </c>
      <c r="H1043" s="197">
        <v>0</v>
      </c>
      <c r="I1043">
        <f t="shared" si="117"/>
        <v>979</v>
      </c>
      <c r="J1043" s="190">
        <v>0</v>
      </c>
      <c r="K1043">
        <f t="shared" si="119"/>
        <v>945</v>
      </c>
      <c r="L1043" s="62">
        <f t="shared" si="118"/>
        <v>983</v>
      </c>
      <c r="M1043" s="287">
        <v>1.36</v>
      </c>
      <c r="N1043" s="284">
        <f>VLOOKUP(8390,季財報!A:N,8,0)</f>
        <v>0</v>
      </c>
    </row>
    <row r="1044" spans="1:14">
      <c r="A1044" s="184">
        <v>6169</v>
      </c>
      <c r="C1044">
        <v>-29</v>
      </c>
      <c r="H1044" s="197">
        <v>0</v>
      </c>
      <c r="I1044">
        <f t="shared" si="117"/>
        <v>979</v>
      </c>
      <c r="J1044" s="190">
        <v>0</v>
      </c>
      <c r="K1044">
        <f t="shared" si="119"/>
        <v>945</v>
      </c>
      <c r="L1044" s="62">
        <f t="shared" si="118"/>
        <v>983</v>
      </c>
      <c r="M1044" s="287">
        <v>1.01</v>
      </c>
      <c r="N1044" s="284">
        <f>VLOOKUP(6169,季財報!A:N,8,0)</f>
        <v>4</v>
      </c>
    </row>
    <row r="1045" spans="1:14">
      <c r="A1045" s="184">
        <v>6170</v>
      </c>
      <c r="C1045">
        <v>-12</v>
      </c>
      <c r="H1045" s="197">
        <v>0</v>
      </c>
      <c r="I1045">
        <f t="shared" si="117"/>
        <v>979</v>
      </c>
      <c r="J1045" s="190">
        <v>0</v>
      </c>
      <c r="K1045">
        <f t="shared" si="119"/>
        <v>945</v>
      </c>
      <c r="L1045" s="62">
        <f t="shared" si="118"/>
        <v>983</v>
      </c>
      <c r="M1045" s="287">
        <v>0.79</v>
      </c>
      <c r="N1045" s="284">
        <f>VLOOKUP(6170,季財報!A:N,8,0)</f>
        <v>4</v>
      </c>
    </row>
    <row r="1046" spans="1:14">
      <c r="A1046" s="184">
        <v>6171</v>
      </c>
      <c r="C1046">
        <v>-6</v>
      </c>
      <c r="H1046" s="197">
        <v>0</v>
      </c>
      <c r="I1046">
        <f t="shared" si="117"/>
        <v>979</v>
      </c>
      <c r="J1046" s="190">
        <v>0</v>
      </c>
      <c r="K1046">
        <f t="shared" si="119"/>
        <v>945</v>
      </c>
      <c r="L1046" s="62">
        <f t="shared" si="118"/>
        <v>983</v>
      </c>
      <c r="M1046" s="287">
        <v>0.79</v>
      </c>
      <c r="N1046" s="284">
        <f>VLOOKUP(6171,季財報!A:N,8,0)</f>
        <v>4</v>
      </c>
    </row>
    <row r="1047" spans="1:14">
      <c r="A1047" s="184">
        <v>6243</v>
      </c>
      <c r="C1047">
        <v>-27</v>
      </c>
      <c r="H1047" s="197">
        <v>0</v>
      </c>
      <c r="I1047">
        <f t="shared" si="117"/>
        <v>979</v>
      </c>
      <c r="J1047" s="190">
        <v>0</v>
      </c>
      <c r="K1047">
        <f t="shared" si="119"/>
        <v>945</v>
      </c>
      <c r="L1047" s="62">
        <f t="shared" si="118"/>
        <v>983</v>
      </c>
      <c r="M1047" s="287">
        <v>0.79</v>
      </c>
      <c r="N1047" s="284">
        <f>VLOOKUP(6243,季財報!A:N,8,0)</f>
        <v>3</v>
      </c>
    </row>
    <row r="1048" spans="1:14">
      <c r="A1048" s="184">
        <v>6246</v>
      </c>
      <c r="C1048">
        <v>-33</v>
      </c>
      <c r="H1048" s="197">
        <v>0</v>
      </c>
      <c r="I1048">
        <f t="shared" ref="I1048:I1111" si="120">RANK(0,H:H,0)</f>
        <v>979</v>
      </c>
      <c r="J1048" s="190">
        <v>0</v>
      </c>
      <c r="K1048">
        <f t="shared" si="119"/>
        <v>945</v>
      </c>
      <c r="L1048" s="62">
        <f t="shared" ref="L1048:L1111" si="121">RANK(0.79,M:M,0)</f>
        <v>983</v>
      </c>
      <c r="M1048" s="287">
        <v>2.29</v>
      </c>
      <c r="N1048" s="284">
        <f>VLOOKUP(6246,季財報!A:N,8,0)</f>
        <v>3</v>
      </c>
    </row>
    <row r="1049" spans="1:14">
      <c r="A1049" s="184">
        <v>6250</v>
      </c>
      <c r="C1049">
        <v>-44</v>
      </c>
      <c r="H1049" s="197">
        <v>0</v>
      </c>
      <c r="I1049">
        <f t="shared" si="120"/>
        <v>979</v>
      </c>
      <c r="J1049" s="190">
        <v>0</v>
      </c>
      <c r="K1049">
        <f t="shared" si="119"/>
        <v>945</v>
      </c>
      <c r="L1049" s="62">
        <f t="shared" si="121"/>
        <v>983</v>
      </c>
      <c r="M1049" s="287">
        <v>0.79</v>
      </c>
      <c r="N1049" s="284">
        <f>VLOOKUP(6250,季財報!A:N,8,0)</f>
        <v>0</v>
      </c>
    </row>
    <row r="1050" spans="1:14">
      <c r="A1050" s="184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197">
        <v>0</v>
      </c>
      <c r="I1050">
        <f t="shared" si="120"/>
        <v>979</v>
      </c>
      <c r="J1050" s="190">
        <v>0</v>
      </c>
      <c r="K1050">
        <f t="shared" si="119"/>
        <v>945</v>
      </c>
      <c r="L1050" s="62">
        <f t="shared" si="121"/>
        <v>983</v>
      </c>
      <c r="M1050" s="287">
        <v>1.1399999999999999</v>
      </c>
      <c r="N1050" s="284">
        <f>VLOOKUP(6251,季財報!A:N,8,0)</f>
        <v>2</v>
      </c>
    </row>
    <row r="1051" spans="1:14">
      <c r="A1051" s="184">
        <v>6259</v>
      </c>
      <c r="C1051">
        <v>-49</v>
      </c>
      <c r="H1051" s="197">
        <v>0</v>
      </c>
      <c r="I1051">
        <f t="shared" si="120"/>
        <v>979</v>
      </c>
      <c r="J1051" s="190">
        <v>0</v>
      </c>
      <c r="K1051">
        <f t="shared" si="119"/>
        <v>945</v>
      </c>
      <c r="L1051" s="62">
        <f t="shared" si="121"/>
        <v>983</v>
      </c>
      <c r="M1051" s="287">
        <v>2.69</v>
      </c>
      <c r="N1051" s="284">
        <f>VLOOKUP(6259,季財報!A:N,8,0)</f>
        <v>1</v>
      </c>
    </row>
    <row r="1052" spans="1:14">
      <c r="A1052" s="184">
        <v>6264</v>
      </c>
      <c r="C1052">
        <v>-18</v>
      </c>
      <c r="H1052" s="197">
        <v>0</v>
      </c>
      <c r="I1052">
        <f t="shared" si="120"/>
        <v>979</v>
      </c>
      <c r="J1052" s="190">
        <v>0</v>
      </c>
      <c r="K1052">
        <f t="shared" si="119"/>
        <v>945</v>
      </c>
      <c r="L1052" s="62">
        <f t="shared" si="121"/>
        <v>983</v>
      </c>
      <c r="M1052" s="287">
        <v>6.36</v>
      </c>
      <c r="N1052" s="284">
        <f>VLOOKUP(6264,季財報!A:N,8,0)</f>
        <v>1</v>
      </c>
    </row>
    <row r="1053" spans="1:14">
      <c r="A1053" s="184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197">
        <v>0</v>
      </c>
      <c r="I1053">
        <f t="shared" si="120"/>
        <v>979</v>
      </c>
      <c r="J1053" s="190">
        <v>0</v>
      </c>
      <c r="K1053">
        <f t="shared" si="119"/>
        <v>945</v>
      </c>
      <c r="L1053" s="62">
        <f t="shared" si="121"/>
        <v>983</v>
      </c>
      <c r="M1053" s="287">
        <v>4.05</v>
      </c>
      <c r="N1053" s="284">
        <f>VLOOKUP(6265,季財報!A:N,8,0)</f>
        <v>3</v>
      </c>
    </row>
    <row r="1054" spans="1:14">
      <c r="A1054" s="184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197">
        <v>0</v>
      </c>
      <c r="I1054">
        <f t="shared" si="120"/>
        <v>979</v>
      </c>
      <c r="J1054" s="190">
        <v>0</v>
      </c>
      <c r="K1054">
        <f t="shared" si="119"/>
        <v>945</v>
      </c>
      <c r="L1054" s="62">
        <f t="shared" si="121"/>
        <v>983</v>
      </c>
      <c r="M1054" s="287">
        <v>0.79</v>
      </c>
      <c r="N1054" s="284">
        <f>VLOOKUP(6266,季財報!A:N,8,0)</f>
        <v>4</v>
      </c>
    </row>
    <row r="1055" spans="1:14">
      <c r="A1055" s="184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197">
        <v>0</v>
      </c>
      <c r="I1055">
        <f t="shared" si="120"/>
        <v>979</v>
      </c>
      <c r="J1055" s="190">
        <v>0</v>
      </c>
      <c r="K1055">
        <f t="shared" si="119"/>
        <v>945</v>
      </c>
      <c r="L1055" s="62">
        <f t="shared" si="121"/>
        <v>983</v>
      </c>
      <c r="M1055" s="287">
        <v>1.1399999999999999</v>
      </c>
      <c r="N1055" s="284">
        <f>VLOOKUP(6270,季財報!A:N,8,0)</f>
        <v>3</v>
      </c>
    </row>
    <row r="1056" spans="1:14">
      <c r="A1056" s="184">
        <v>6275</v>
      </c>
      <c r="C1056">
        <v>0</v>
      </c>
      <c r="H1056" s="197">
        <v>0</v>
      </c>
      <c r="I1056">
        <f t="shared" si="120"/>
        <v>979</v>
      </c>
      <c r="J1056" s="190">
        <v>0</v>
      </c>
      <c r="K1056">
        <f t="shared" si="119"/>
        <v>945</v>
      </c>
      <c r="L1056" s="62">
        <f t="shared" si="121"/>
        <v>983</v>
      </c>
      <c r="M1056" s="287">
        <v>0.79</v>
      </c>
      <c r="N1056" s="284">
        <f>VLOOKUP(6275,季財報!A:N,8,0)</f>
        <v>1</v>
      </c>
    </row>
    <row r="1057" spans="1:14">
      <c r="A1057" s="184">
        <v>6276</v>
      </c>
      <c r="C1057">
        <v>-43</v>
      </c>
      <c r="H1057" s="197">
        <v>0</v>
      </c>
      <c r="I1057">
        <f t="shared" si="120"/>
        <v>979</v>
      </c>
      <c r="J1057" s="190">
        <v>0</v>
      </c>
      <c r="K1057">
        <f t="shared" si="119"/>
        <v>945</v>
      </c>
      <c r="L1057" s="62">
        <f t="shared" si="121"/>
        <v>983</v>
      </c>
      <c r="M1057" s="287">
        <v>1.01</v>
      </c>
      <c r="N1057" s="284">
        <f>VLOOKUP(6276,季財報!A:N,8,0)</f>
        <v>2</v>
      </c>
    </row>
    <row r="1058" spans="1:14">
      <c r="A1058" s="184">
        <v>6283</v>
      </c>
      <c r="C1058">
        <v>-15</v>
      </c>
      <c r="H1058" s="197">
        <v>0</v>
      </c>
      <c r="I1058">
        <f t="shared" si="120"/>
        <v>979</v>
      </c>
      <c r="J1058" s="190">
        <v>0</v>
      </c>
      <c r="K1058">
        <f t="shared" si="119"/>
        <v>945</v>
      </c>
      <c r="L1058" s="62">
        <f t="shared" si="121"/>
        <v>983</v>
      </c>
      <c r="M1058" s="287">
        <v>0.79</v>
      </c>
      <c r="N1058" s="284">
        <f>VLOOKUP(6283,季財報!A:N,8,0)</f>
        <v>2</v>
      </c>
    </row>
    <row r="1059" spans="1:14">
      <c r="A1059" s="184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197">
        <v>0</v>
      </c>
      <c r="I1059">
        <f t="shared" si="120"/>
        <v>979</v>
      </c>
      <c r="J1059" s="190">
        <v>0</v>
      </c>
      <c r="K1059">
        <f t="shared" si="119"/>
        <v>945</v>
      </c>
      <c r="L1059" s="62">
        <f t="shared" si="121"/>
        <v>983</v>
      </c>
      <c r="M1059" s="287">
        <v>1.9</v>
      </c>
      <c r="N1059" s="284">
        <f>VLOOKUP(6284,季財報!A:N,8,0)</f>
        <v>4</v>
      </c>
    </row>
    <row r="1060" spans="1:14">
      <c r="A1060" s="184">
        <v>6287</v>
      </c>
      <c r="C1060">
        <v>-56</v>
      </c>
      <c r="H1060" s="197">
        <v>0</v>
      </c>
      <c r="I1060">
        <f t="shared" si="120"/>
        <v>979</v>
      </c>
      <c r="J1060" s="190">
        <v>0</v>
      </c>
      <c r="K1060">
        <f t="shared" si="119"/>
        <v>945</v>
      </c>
      <c r="L1060" s="62">
        <f t="shared" si="121"/>
        <v>983</v>
      </c>
      <c r="M1060" s="287">
        <v>0.79</v>
      </c>
      <c r="N1060" s="284">
        <f>VLOOKUP(6287,季財報!A:N,8,0)</f>
        <v>3</v>
      </c>
    </row>
    <row r="1061" spans="1:14">
      <c r="A1061" s="184">
        <v>6289</v>
      </c>
      <c r="C1061">
        <v>-75</v>
      </c>
      <c r="H1061" s="197">
        <v>0</v>
      </c>
      <c r="I1061">
        <f t="shared" si="120"/>
        <v>979</v>
      </c>
      <c r="J1061" s="190">
        <v>0</v>
      </c>
      <c r="K1061">
        <f t="shared" si="119"/>
        <v>945</v>
      </c>
      <c r="L1061" s="62">
        <f t="shared" si="121"/>
        <v>983</v>
      </c>
      <c r="M1061" s="287">
        <v>0.79</v>
      </c>
      <c r="N1061" s="284">
        <f>VLOOKUP(6289,季財報!A:N,8,0)</f>
        <v>2</v>
      </c>
    </row>
    <row r="1062" spans="1:14">
      <c r="A1062" s="184">
        <v>6291</v>
      </c>
      <c r="C1062">
        <v>-12</v>
      </c>
      <c r="H1062" s="197">
        <v>0</v>
      </c>
      <c r="I1062">
        <f t="shared" si="120"/>
        <v>979</v>
      </c>
      <c r="J1062" s="190">
        <v>0</v>
      </c>
      <c r="K1062">
        <f t="shared" si="119"/>
        <v>945</v>
      </c>
      <c r="L1062" s="62">
        <f t="shared" si="121"/>
        <v>983</v>
      </c>
      <c r="M1062" s="287">
        <v>0.79</v>
      </c>
      <c r="N1062" s="284">
        <f>VLOOKUP(6291,季財報!A:N,8,0)</f>
        <v>0</v>
      </c>
    </row>
    <row r="1063" spans="1:14">
      <c r="A1063" s="184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197">
        <v>0</v>
      </c>
      <c r="I1063">
        <f t="shared" si="120"/>
        <v>979</v>
      </c>
      <c r="J1063" s="190">
        <v>0</v>
      </c>
      <c r="K1063">
        <f t="shared" si="119"/>
        <v>945</v>
      </c>
      <c r="L1063" s="62">
        <f t="shared" si="121"/>
        <v>983</v>
      </c>
      <c r="M1063" s="287">
        <v>1.01</v>
      </c>
      <c r="N1063" s="284">
        <f>VLOOKUP(6404,季財報!A:N,8,0)</f>
        <v>1</v>
      </c>
    </row>
    <row r="1064" spans="1:14">
      <c r="A1064" s="184">
        <v>6702</v>
      </c>
      <c r="C1064">
        <v>-665</v>
      </c>
      <c r="H1064" s="197">
        <v>0</v>
      </c>
      <c r="I1064">
        <f t="shared" si="120"/>
        <v>979</v>
      </c>
      <c r="J1064" s="190">
        <v>0</v>
      </c>
      <c r="K1064">
        <f t="shared" si="119"/>
        <v>945</v>
      </c>
      <c r="L1064" s="62">
        <f t="shared" si="121"/>
        <v>983</v>
      </c>
      <c r="M1064" s="287">
        <v>2.29</v>
      </c>
      <c r="N1064" s="284">
        <f>VLOOKUP(6702,季財報!A:N,8,0)</f>
        <v>2</v>
      </c>
    </row>
    <row r="1065" spans="1:14">
      <c r="A1065" s="184">
        <v>8011</v>
      </c>
      <c r="C1065">
        <v>-71</v>
      </c>
      <c r="H1065" s="197">
        <v>0</v>
      </c>
      <c r="I1065">
        <f t="shared" si="120"/>
        <v>979</v>
      </c>
      <c r="J1065" s="190">
        <v>0</v>
      </c>
      <c r="K1065">
        <f t="shared" si="119"/>
        <v>945</v>
      </c>
      <c r="L1065" s="62">
        <f t="shared" si="121"/>
        <v>983</v>
      </c>
      <c r="M1065" s="287">
        <v>1.36</v>
      </c>
      <c r="N1065" s="284">
        <f>VLOOKUP(8011,季財報!A:N,8,0)</f>
        <v>1</v>
      </c>
    </row>
    <row r="1066" spans="1:14">
      <c r="A1066" s="184">
        <v>8024</v>
      </c>
      <c r="C1066">
        <v>-8</v>
      </c>
      <c r="H1066" s="197">
        <v>0</v>
      </c>
      <c r="I1066">
        <f t="shared" si="120"/>
        <v>979</v>
      </c>
      <c r="J1066" s="190">
        <v>0</v>
      </c>
      <c r="K1066">
        <f t="shared" si="119"/>
        <v>945</v>
      </c>
      <c r="L1066" s="62">
        <f t="shared" si="121"/>
        <v>983</v>
      </c>
      <c r="M1066" s="287">
        <v>0.79</v>
      </c>
      <c r="N1066" s="284">
        <f>VLOOKUP(8024,季財報!A:N,8,0)</f>
        <v>1</v>
      </c>
    </row>
    <row r="1067" spans="1:14">
      <c r="A1067" s="184">
        <v>8034</v>
      </c>
      <c r="C1067">
        <v>-10</v>
      </c>
      <c r="H1067" s="197">
        <v>0</v>
      </c>
      <c r="I1067">
        <f t="shared" si="120"/>
        <v>979</v>
      </c>
      <c r="J1067" s="190">
        <v>0</v>
      </c>
      <c r="K1067">
        <f t="shared" si="119"/>
        <v>945</v>
      </c>
      <c r="L1067" s="62">
        <f t="shared" si="121"/>
        <v>983</v>
      </c>
      <c r="M1067" s="287">
        <v>1.84</v>
      </c>
      <c r="N1067" s="284">
        <f>VLOOKUP(8034,季財報!A:N,8,0)</f>
        <v>3</v>
      </c>
    </row>
    <row r="1068" spans="1:14">
      <c r="A1068" s="184">
        <v>8038</v>
      </c>
      <c r="C1068">
        <v>-34</v>
      </c>
      <c r="H1068" s="197">
        <v>0</v>
      </c>
      <c r="I1068">
        <f t="shared" si="120"/>
        <v>979</v>
      </c>
      <c r="J1068" s="190">
        <v>0</v>
      </c>
      <c r="K1068">
        <f t="shared" si="119"/>
        <v>945</v>
      </c>
      <c r="L1068" s="62">
        <f t="shared" si="121"/>
        <v>983</v>
      </c>
      <c r="M1068" s="287">
        <v>1.36</v>
      </c>
      <c r="N1068" s="284">
        <f>VLOOKUP(8038,季財報!A:N,8,0)</f>
        <v>1</v>
      </c>
    </row>
    <row r="1069" spans="1:14">
      <c r="A1069" s="184">
        <v>8040</v>
      </c>
      <c r="C1069">
        <v>-31</v>
      </c>
      <c r="H1069" s="197">
        <v>0</v>
      </c>
      <c r="I1069">
        <f t="shared" si="120"/>
        <v>979</v>
      </c>
      <c r="J1069" s="190">
        <v>0</v>
      </c>
      <c r="K1069">
        <f t="shared" si="119"/>
        <v>945</v>
      </c>
      <c r="L1069" s="62">
        <f t="shared" si="121"/>
        <v>983</v>
      </c>
      <c r="M1069" s="287">
        <v>1.58</v>
      </c>
      <c r="N1069" s="284">
        <f>VLOOKUP(8040,季財報!A:N,8,0)</f>
        <v>1</v>
      </c>
    </row>
    <row r="1070" spans="1:14">
      <c r="A1070" s="184">
        <v>8046</v>
      </c>
      <c r="C1070">
        <v>-462</v>
      </c>
      <c r="H1070" s="197">
        <v>0</v>
      </c>
      <c r="I1070">
        <f t="shared" si="120"/>
        <v>979</v>
      </c>
      <c r="J1070" s="190">
        <v>0</v>
      </c>
      <c r="K1070">
        <f t="shared" si="119"/>
        <v>945</v>
      </c>
      <c r="L1070" s="62">
        <f t="shared" si="121"/>
        <v>983</v>
      </c>
      <c r="M1070" s="287">
        <v>0.79</v>
      </c>
      <c r="N1070" s="284">
        <f>VLOOKUP(8046,季財報!A:N,8,0)</f>
        <v>2</v>
      </c>
    </row>
    <row r="1071" spans="1:14">
      <c r="A1071" s="184">
        <v>8092</v>
      </c>
      <c r="C1071">
        <v>-4</v>
      </c>
      <c r="H1071" s="197">
        <v>0</v>
      </c>
      <c r="I1071">
        <f t="shared" si="120"/>
        <v>979</v>
      </c>
      <c r="J1071" s="190">
        <v>0</v>
      </c>
      <c r="K1071">
        <f t="shared" si="119"/>
        <v>945</v>
      </c>
      <c r="L1071" s="62">
        <f t="shared" si="121"/>
        <v>983</v>
      </c>
      <c r="M1071" s="287">
        <v>0.79</v>
      </c>
      <c r="N1071" s="284">
        <f>VLOOKUP(8092,季財報!A:N,8,0)</f>
        <v>2</v>
      </c>
    </row>
    <row r="1072" spans="1:14">
      <c r="A1072" s="184">
        <v>8097</v>
      </c>
      <c r="C1072">
        <v>-7</v>
      </c>
      <c r="H1072" s="197">
        <v>0</v>
      </c>
      <c r="I1072">
        <f t="shared" si="120"/>
        <v>979</v>
      </c>
      <c r="J1072" s="190">
        <v>0</v>
      </c>
      <c r="K1072">
        <f t="shared" si="119"/>
        <v>945</v>
      </c>
      <c r="L1072" s="62">
        <f t="shared" si="121"/>
        <v>983</v>
      </c>
      <c r="M1072" s="287">
        <v>0.79</v>
      </c>
      <c r="N1072" s="284">
        <f>VLOOKUP(8097,季財報!A:N,8,0)</f>
        <v>5</v>
      </c>
    </row>
    <row r="1073" spans="1:14">
      <c r="A1073" s="184">
        <v>5523</v>
      </c>
      <c r="C1073">
        <v>-1</v>
      </c>
      <c r="H1073" s="197">
        <v>0</v>
      </c>
      <c r="I1073">
        <f t="shared" si="120"/>
        <v>979</v>
      </c>
      <c r="J1073" s="190">
        <v>0</v>
      </c>
      <c r="K1073">
        <f t="shared" si="119"/>
        <v>945</v>
      </c>
      <c r="L1073" s="62">
        <f t="shared" si="121"/>
        <v>983</v>
      </c>
      <c r="M1073" s="287">
        <v>1.01</v>
      </c>
      <c r="N1073" s="284">
        <f>VLOOKUP(5523,季財報!A:N,8,0)</f>
        <v>0</v>
      </c>
    </row>
    <row r="1074" spans="1:14">
      <c r="A1074" s="184">
        <v>5529</v>
      </c>
      <c r="C1074">
        <v>-15</v>
      </c>
      <c r="H1074" s="197">
        <v>0</v>
      </c>
      <c r="I1074">
        <f t="shared" si="120"/>
        <v>979</v>
      </c>
      <c r="J1074" s="190">
        <v>0</v>
      </c>
      <c r="K1074">
        <f t="shared" si="119"/>
        <v>945</v>
      </c>
      <c r="L1074" s="62">
        <f t="shared" si="121"/>
        <v>983</v>
      </c>
      <c r="M1074" s="287">
        <v>0.79</v>
      </c>
      <c r="N1074" s="284">
        <f>VLOOKUP(5529,季財報!A:N,8,0)</f>
        <v>0</v>
      </c>
    </row>
    <row r="1075" spans="1:14">
      <c r="A1075" s="184">
        <v>5531</v>
      </c>
      <c r="C1075">
        <v>-68</v>
      </c>
      <c r="H1075" s="197">
        <v>0</v>
      </c>
      <c r="I1075">
        <f t="shared" si="120"/>
        <v>979</v>
      </c>
      <c r="J1075" s="190">
        <v>0</v>
      </c>
      <c r="K1075">
        <f t="shared" si="119"/>
        <v>945</v>
      </c>
      <c r="L1075" s="62">
        <f t="shared" si="121"/>
        <v>983</v>
      </c>
      <c r="M1075" s="287">
        <v>0.79</v>
      </c>
      <c r="N1075" s="284">
        <f>VLOOKUP(5531,季財報!A:N,8,0)</f>
        <v>1</v>
      </c>
    </row>
    <row r="1076" spans="1:14">
      <c r="A1076" s="184">
        <v>5906</v>
      </c>
      <c r="C1076">
        <v>-122</v>
      </c>
      <c r="H1076" s="197">
        <v>0</v>
      </c>
      <c r="I1076">
        <f t="shared" si="120"/>
        <v>979</v>
      </c>
      <c r="J1076" s="190">
        <v>0</v>
      </c>
      <c r="K1076">
        <f t="shared" si="119"/>
        <v>945</v>
      </c>
      <c r="L1076" s="62">
        <f t="shared" si="121"/>
        <v>983</v>
      </c>
      <c r="M1076" s="287">
        <v>0.87</v>
      </c>
      <c r="N1076" s="284">
        <f>VLOOKUP(5906,季財報!A:N,8,0)</f>
        <v>3</v>
      </c>
    </row>
    <row r="1077" spans="1:14">
      <c r="A1077" s="184">
        <v>6101</v>
      </c>
      <c r="C1077">
        <v>-53</v>
      </c>
      <c r="H1077" s="197">
        <v>0</v>
      </c>
      <c r="I1077">
        <f t="shared" si="120"/>
        <v>979</v>
      </c>
      <c r="J1077" s="190">
        <v>0</v>
      </c>
      <c r="K1077">
        <f t="shared" si="119"/>
        <v>945</v>
      </c>
      <c r="L1077" s="62">
        <f t="shared" si="121"/>
        <v>983</v>
      </c>
      <c r="M1077" s="287">
        <v>1.01</v>
      </c>
      <c r="N1077" s="284">
        <f>VLOOKUP(6101,季財報!A:N,8,0)</f>
        <v>0</v>
      </c>
    </row>
    <row r="1078" spans="1:14">
      <c r="A1078" s="184">
        <v>6103</v>
      </c>
      <c r="C1078">
        <v>0</v>
      </c>
      <c r="H1078" s="197">
        <v>0</v>
      </c>
      <c r="I1078">
        <f t="shared" si="120"/>
        <v>979</v>
      </c>
      <c r="J1078" s="190">
        <v>0</v>
      </c>
      <c r="K1078">
        <f t="shared" si="119"/>
        <v>945</v>
      </c>
      <c r="L1078" s="62">
        <f t="shared" si="121"/>
        <v>983</v>
      </c>
      <c r="M1078" s="287">
        <v>1.1399999999999999</v>
      </c>
      <c r="N1078" s="284">
        <f>VLOOKUP(6103,季財報!A:N,8,0)</f>
        <v>4</v>
      </c>
    </row>
    <row r="1079" spans="1:14">
      <c r="A1079" s="184">
        <v>6113</v>
      </c>
      <c r="C1079">
        <v>-11</v>
      </c>
      <c r="H1079" s="197">
        <v>0</v>
      </c>
      <c r="I1079">
        <f t="shared" si="120"/>
        <v>979</v>
      </c>
      <c r="J1079" s="190">
        <v>0</v>
      </c>
      <c r="K1079">
        <f t="shared" si="119"/>
        <v>945</v>
      </c>
      <c r="L1079" s="62">
        <f t="shared" si="121"/>
        <v>983</v>
      </c>
      <c r="M1079" s="287">
        <v>0.79</v>
      </c>
      <c r="N1079" s="284">
        <f>VLOOKUP(6113,季財報!A:N,8,0)</f>
        <v>2</v>
      </c>
    </row>
    <row r="1080" spans="1:14">
      <c r="A1080" s="184">
        <v>6116</v>
      </c>
      <c r="C1080">
        <v>-874</v>
      </c>
      <c r="H1080" s="197">
        <v>0</v>
      </c>
      <c r="I1080">
        <f t="shared" si="120"/>
        <v>979</v>
      </c>
      <c r="J1080" s="190">
        <v>0</v>
      </c>
      <c r="K1080">
        <f t="shared" ref="K1080:K1143" si="122">RANK(0,J:J,0)</f>
        <v>945</v>
      </c>
      <c r="L1080" s="62">
        <f t="shared" si="121"/>
        <v>983</v>
      </c>
      <c r="M1080" s="287">
        <v>0.79</v>
      </c>
      <c r="N1080" s="284">
        <f>VLOOKUP(6116,季財報!A:N,8,0)</f>
        <v>2</v>
      </c>
    </row>
    <row r="1081" spans="1:14">
      <c r="A1081" s="184">
        <v>6117</v>
      </c>
      <c r="C1081">
        <v>-54</v>
      </c>
      <c r="H1081" s="197">
        <v>0</v>
      </c>
      <c r="I1081">
        <f t="shared" si="120"/>
        <v>979</v>
      </c>
      <c r="J1081" s="190">
        <v>0</v>
      </c>
      <c r="K1081">
        <f t="shared" si="122"/>
        <v>945</v>
      </c>
      <c r="L1081" s="62">
        <f t="shared" si="121"/>
        <v>983</v>
      </c>
      <c r="M1081" s="287">
        <v>0.79</v>
      </c>
      <c r="N1081" s="284">
        <f>VLOOKUP(6117,季財報!A:N,8,0)</f>
        <v>3</v>
      </c>
    </row>
    <row r="1082" spans="1:14">
      <c r="A1082" s="184">
        <v>6118</v>
      </c>
      <c r="C1082">
        <v>-3</v>
      </c>
      <c r="H1082" s="197">
        <v>0</v>
      </c>
      <c r="I1082">
        <f t="shared" si="120"/>
        <v>979</v>
      </c>
      <c r="J1082" s="190">
        <v>0</v>
      </c>
      <c r="K1082">
        <f t="shared" si="122"/>
        <v>945</v>
      </c>
      <c r="L1082" s="62">
        <f t="shared" si="121"/>
        <v>983</v>
      </c>
      <c r="M1082" s="287">
        <v>0.79</v>
      </c>
      <c r="N1082" s="284">
        <f>VLOOKUP(6118,季財報!A:N,8,0)</f>
        <v>2</v>
      </c>
    </row>
    <row r="1083" spans="1:14">
      <c r="A1083" s="184">
        <v>6120</v>
      </c>
      <c r="C1083">
        <v>-187</v>
      </c>
      <c r="H1083" s="197">
        <v>0</v>
      </c>
      <c r="I1083">
        <f t="shared" si="120"/>
        <v>979</v>
      </c>
      <c r="J1083" s="190">
        <v>0</v>
      </c>
      <c r="K1083">
        <f t="shared" si="122"/>
        <v>945</v>
      </c>
      <c r="L1083" s="62">
        <f t="shared" si="121"/>
        <v>983</v>
      </c>
      <c r="M1083" s="287">
        <v>0.79</v>
      </c>
      <c r="N1083" s="284">
        <f>VLOOKUP(6120,季財報!A:N,8,0)</f>
        <v>0</v>
      </c>
    </row>
    <row r="1084" spans="1:14">
      <c r="A1084" s="184">
        <v>6122</v>
      </c>
      <c r="C1084">
        <v>-18</v>
      </c>
      <c r="H1084" s="197">
        <v>0</v>
      </c>
      <c r="I1084">
        <f t="shared" si="120"/>
        <v>979</v>
      </c>
      <c r="J1084" s="190">
        <v>0</v>
      </c>
      <c r="K1084">
        <f t="shared" si="122"/>
        <v>945</v>
      </c>
      <c r="L1084" s="62">
        <f t="shared" si="121"/>
        <v>983</v>
      </c>
      <c r="M1084" s="287">
        <v>0.79</v>
      </c>
      <c r="N1084" s="284">
        <f>VLOOKUP(6122,季財報!A:N,8,0)</f>
        <v>1</v>
      </c>
    </row>
    <row r="1085" spans="1:14">
      <c r="A1085" s="184">
        <v>6124</v>
      </c>
      <c r="C1085">
        <v>-15</v>
      </c>
      <c r="H1085" s="197">
        <v>0</v>
      </c>
      <c r="I1085">
        <f t="shared" si="120"/>
        <v>979</v>
      </c>
      <c r="J1085" s="190">
        <v>0</v>
      </c>
      <c r="K1085">
        <f t="shared" si="122"/>
        <v>945</v>
      </c>
      <c r="L1085" s="62">
        <f t="shared" si="121"/>
        <v>983</v>
      </c>
      <c r="M1085" s="287">
        <v>0.79</v>
      </c>
      <c r="N1085" s="284">
        <f>VLOOKUP(6124,季財報!A:N,8,0)</f>
        <v>3</v>
      </c>
    </row>
    <row r="1086" spans="1:14">
      <c r="A1086" s="184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197">
        <v>0</v>
      </c>
      <c r="I1086">
        <f t="shared" si="120"/>
        <v>979</v>
      </c>
      <c r="J1086" s="190">
        <v>0</v>
      </c>
      <c r="K1086">
        <f t="shared" si="122"/>
        <v>945</v>
      </c>
      <c r="L1086" s="62">
        <f t="shared" si="121"/>
        <v>983</v>
      </c>
      <c r="M1086" s="287">
        <v>1.01</v>
      </c>
      <c r="N1086" s="284">
        <f>VLOOKUP(6125,季財報!A:N,8,0)</f>
        <v>2</v>
      </c>
    </row>
    <row r="1087" spans="1:14">
      <c r="A1087" s="184">
        <v>6126</v>
      </c>
      <c r="C1087">
        <v>-26</v>
      </c>
      <c r="H1087" s="197">
        <v>0</v>
      </c>
      <c r="I1087">
        <f t="shared" si="120"/>
        <v>979</v>
      </c>
      <c r="J1087" s="190">
        <v>0</v>
      </c>
      <c r="K1087">
        <f t="shared" si="122"/>
        <v>945</v>
      </c>
      <c r="L1087" s="62">
        <f t="shared" si="121"/>
        <v>983</v>
      </c>
      <c r="M1087" s="287">
        <v>0.79</v>
      </c>
      <c r="N1087" s="284">
        <f>VLOOKUP(6126,季財報!A:N,8,0)</f>
        <v>4</v>
      </c>
    </row>
    <row r="1088" spans="1:14">
      <c r="A1088" s="184">
        <v>6129</v>
      </c>
      <c r="C1088">
        <v>-18</v>
      </c>
      <c r="H1088" s="197">
        <v>0</v>
      </c>
      <c r="I1088">
        <f t="shared" si="120"/>
        <v>979</v>
      </c>
      <c r="J1088" s="190">
        <v>0</v>
      </c>
      <c r="K1088">
        <f t="shared" si="122"/>
        <v>945</v>
      </c>
      <c r="L1088" s="62">
        <f t="shared" si="121"/>
        <v>983</v>
      </c>
      <c r="M1088" s="287">
        <v>0.79</v>
      </c>
      <c r="N1088" s="284">
        <f>VLOOKUP(6129,季財報!A:N,8,0)</f>
        <v>1</v>
      </c>
    </row>
    <row r="1089" spans="1:14">
      <c r="A1089" s="184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197">
        <v>0</v>
      </c>
      <c r="I1089">
        <f t="shared" si="120"/>
        <v>979</v>
      </c>
      <c r="J1089" s="190">
        <v>0</v>
      </c>
      <c r="K1089">
        <f t="shared" si="122"/>
        <v>945</v>
      </c>
      <c r="L1089" s="62">
        <f t="shared" si="121"/>
        <v>983</v>
      </c>
      <c r="M1089" s="287">
        <v>1.36</v>
      </c>
      <c r="N1089" s="284">
        <f>VLOOKUP(6130,季財報!A:N,8,0)</f>
        <v>2</v>
      </c>
    </row>
    <row r="1090" spans="1:14">
      <c r="A1090" s="184">
        <v>6131</v>
      </c>
      <c r="C1090">
        <v>-29</v>
      </c>
      <c r="H1090" s="197">
        <v>0</v>
      </c>
      <c r="I1090">
        <f t="shared" si="120"/>
        <v>979</v>
      </c>
      <c r="J1090" s="190">
        <v>0</v>
      </c>
      <c r="K1090">
        <f t="shared" si="122"/>
        <v>945</v>
      </c>
      <c r="L1090" s="62">
        <f t="shared" si="121"/>
        <v>983</v>
      </c>
      <c r="M1090" s="287">
        <v>1.29</v>
      </c>
      <c r="N1090" s="284">
        <f>VLOOKUP(6131,季財報!A:N,8,0)</f>
        <v>3</v>
      </c>
    </row>
    <row r="1091" spans="1:14">
      <c r="A1091" s="184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197">
        <v>0</v>
      </c>
      <c r="I1091">
        <f t="shared" si="120"/>
        <v>979</v>
      </c>
      <c r="J1091" s="190">
        <v>0</v>
      </c>
      <c r="K1091">
        <f t="shared" si="122"/>
        <v>945</v>
      </c>
      <c r="L1091" s="62">
        <f t="shared" si="121"/>
        <v>983</v>
      </c>
      <c r="M1091" s="287">
        <v>1.1399999999999999</v>
      </c>
      <c r="N1091" s="284">
        <f>VLOOKUP(6133,季財報!A:N,8,0)</f>
        <v>3</v>
      </c>
    </row>
    <row r="1092" spans="1:14">
      <c r="A1092" s="184">
        <v>6134</v>
      </c>
      <c r="C1092">
        <v>0</v>
      </c>
      <c r="H1092" s="197">
        <v>0</v>
      </c>
      <c r="I1092">
        <f t="shared" si="120"/>
        <v>979</v>
      </c>
      <c r="J1092" s="190">
        <v>0</v>
      </c>
      <c r="K1092">
        <f t="shared" si="122"/>
        <v>945</v>
      </c>
      <c r="L1092" s="62">
        <f t="shared" si="121"/>
        <v>983</v>
      </c>
      <c r="M1092" s="287">
        <v>0.79</v>
      </c>
      <c r="N1092" s="284">
        <f>VLOOKUP(6134,季財報!A:N,8,0)</f>
        <v>2</v>
      </c>
    </row>
    <row r="1093" spans="1:14">
      <c r="A1093" s="184">
        <v>6136</v>
      </c>
      <c r="C1093">
        <v>-8</v>
      </c>
      <c r="H1093" s="197">
        <v>0</v>
      </c>
      <c r="I1093">
        <f t="shared" si="120"/>
        <v>979</v>
      </c>
      <c r="J1093" s="190">
        <v>0</v>
      </c>
      <c r="K1093">
        <f t="shared" si="122"/>
        <v>945</v>
      </c>
      <c r="L1093" s="62">
        <f t="shared" si="121"/>
        <v>983</v>
      </c>
      <c r="M1093" s="287">
        <v>0.79</v>
      </c>
      <c r="N1093" s="284">
        <f>VLOOKUP(6136,季財報!A:N,8,0)</f>
        <v>4</v>
      </c>
    </row>
    <row r="1094" spans="1:14">
      <c r="A1094" s="184">
        <v>6140</v>
      </c>
      <c r="C1094">
        <v>-1</v>
      </c>
      <c r="H1094" s="197">
        <v>0</v>
      </c>
      <c r="I1094">
        <f t="shared" si="120"/>
        <v>979</v>
      </c>
      <c r="J1094" s="190">
        <v>0</v>
      </c>
      <c r="K1094">
        <f t="shared" si="122"/>
        <v>945</v>
      </c>
      <c r="L1094" s="62">
        <f t="shared" si="121"/>
        <v>983</v>
      </c>
      <c r="M1094" s="287">
        <v>1.9</v>
      </c>
      <c r="N1094" s="284">
        <f>VLOOKUP(6140,季財報!A:N,8,0)</f>
        <v>2</v>
      </c>
    </row>
    <row r="1095" spans="1:14">
      <c r="A1095" s="184">
        <v>6141</v>
      </c>
      <c r="C1095">
        <v>-76</v>
      </c>
      <c r="H1095" s="197">
        <v>0</v>
      </c>
      <c r="I1095">
        <f t="shared" si="120"/>
        <v>979</v>
      </c>
      <c r="J1095" s="190">
        <v>0</v>
      </c>
      <c r="K1095">
        <f t="shared" si="122"/>
        <v>945</v>
      </c>
      <c r="L1095" s="62">
        <f t="shared" si="121"/>
        <v>983</v>
      </c>
      <c r="M1095" s="287">
        <v>0.79</v>
      </c>
      <c r="N1095" s="284">
        <f>VLOOKUP(6141,季財報!A:N,8,0)</f>
        <v>1</v>
      </c>
    </row>
    <row r="1096" spans="1:14">
      <c r="A1096" s="184">
        <v>6142</v>
      </c>
      <c r="C1096">
        <v>-19</v>
      </c>
      <c r="H1096" s="197">
        <v>0</v>
      </c>
      <c r="I1096">
        <f t="shared" si="120"/>
        <v>979</v>
      </c>
      <c r="J1096" s="190">
        <v>0</v>
      </c>
      <c r="K1096">
        <f t="shared" si="122"/>
        <v>945</v>
      </c>
      <c r="L1096" s="62">
        <f t="shared" si="121"/>
        <v>983</v>
      </c>
      <c r="M1096" s="287">
        <v>0.79</v>
      </c>
      <c r="N1096" s="284">
        <f>VLOOKUP(6142,季財報!A:N,8,0)</f>
        <v>2</v>
      </c>
    </row>
    <row r="1097" spans="1:14">
      <c r="A1097" s="184">
        <v>6143</v>
      </c>
      <c r="C1097">
        <v>-6</v>
      </c>
      <c r="H1097" s="197">
        <v>0</v>
      </c>
      <c r="I1097">
        <f t="shared" si="120"/>
        <v>979</v>
      </c>
      <c r="J1097" s="190">
        <v>0</v>
      </c>
      <c r="K1097">
        <f t="shared" si="122"/>
        <v>945</v>
      </c>
      <c r="L1097" s="62">
        <f t="shared" si="121"/>
        <v>983</v>
      </c>
      <c r="M1097" s="287">
        <v>2.29</v>
      </c>
      <c r="N1097" s="284">
        <f>VLOOKUP(6143,季財報!A:N,8,0)</f>
        <v>5</v>
      </c>
    </row>
    <row r="1098" spans="1:14">
      <c r="A1098" s="184">
        <v>6144</v>
      </c>
      <c r="C1098">
        <v>-4</v>
      </c>
      <c r="H1098" s="197">
        <v>0</v>
      </c>
      <c r="I1098">
        <f t="shared" si="120"/>
        <v>979</v>
      </c>
      <c r="J1098" s="190">
        <v>0</v>
      </c>
      <c r="K1098">
        <f t="shared" si="122"/>
        <v>945</v>
      </c>
      <c r="L1098" s="62">
        <f t="shared" si="121"/>
        <v>983</v>
      </c>
      <c r="M1098" s="287">
        <v>0.87</v>
      </c>
      <c r="N1098" s="284">
        <f>VLOOKUP(6144,季財報!A:N,8,0)</f>
        <v>2</v>
      </c>
    </row>
    <row r="1099" spans="1:14">
      <c r="A1099" s="184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197">
        <v>0</v>
      </c>
      <c r="I1099">
        <f t="shared" si="120"/>
        <v>979</v>
      </c>
      <c r="J1099" s="190">
        <v>0</v>
      </c>
      <c r="K1099">
        <f t="shared" si="122"/>
        <v>945</v>
      </c>
      <c r="L1099" s="62">
        <f t="shared" si="121"/>
        <v>983</v>
      </c>
      <c r="M1099" s="287">
        <v>11.17</v>
      </c>
      <c r="N1099" s="284">
        <f>VLOOKUP(6145,季財報!A:N,8,0)</f>
        <v>2</v>
      </c>
    </row>
    <row r="1100" spans="1:14">
      <c r="A1100" s="184">
        <v>6150</v>
      </c>
      <c r="C1100">
        <v>-36</v>
      </c>
      <c r="H1100" s="197">
        <v>0</v>
      </c>
      <c r="I1100">
        <f t="shared" si="120"/>
        <v>979</v>
      </c>
      <c r="J1100" s="190">
        <v>0</v>
      </c>
      <c r="K1100">
        <f t="shared" si="122"/>
        <v>945</v>
      </c>
      <c r="L1100" s="62">
        <f t="shared" si="121"/>
        <v>983</v>
      </c>
      <c r="M1100" s="287">
        <v>5.24</v>
      </c>
      <c r="N1100" s="284">
        <f>VLOOKUP(6150,季財報!A:N,8,0)</f>
        <v>2</v>
      </c>
    </row>
    <row r="1101" spans="1:14">
      <c r="A1101" s="184">
        <v>6152</v>
      </c>
      <c r="C1101">
        <v>-165</v>
      </c>
      <c r="H1101" s="197">
        <v>0</v>
      </c>
      <c r="I1101">
        <f t="shared" si="120"/>
        <v>979</v>
      </c>
      <c r="J1101" s="190">
        <v>0</v>
      </c>
      <c r="K1101">
        <f t="shared" si="122"/>
        <v>945</v>
      </c>
      <c r="L1101" s="62">
        <f t="shared" si="121"/>
        <v>983</v>
      </c>
      <c r="M1101" s="287">
        <v>0.79</v>
      </c>
      <c r="N1101" s="284">
        <f>VLOOKUP(6152,季財報!A:N,8,0)</f>
        <v>3</v>
      </c>
    </row>
    <row r="1102" spans="1:14">
      <c r="A1102" s="184">
        <v>6186</v>
      </c>
      <c r="C1102">
        <v>-18</v>
      </c>
      <c r="H1102" s="197">
        <v>0</v>
      </c>
      <c r="I1102">
        <f t="shared" si="120"/>
        <v>979</v>
      </c>
      <c r="J1102" s="190">
        <v>0</v>
      </c>
      <c r="K1102">
        <f t="shared" si="122"/>
        <v>945</v>
      </c>
      <c r="L1102" s="62">
        <f t="shared" si="121"/>
        <v>983</v>
      </c>
      <c r="M1102" s="287">
        <v>0.79</v>
      </c>
      <c r="N1102" s="284" t="e">
        <f>VLOOKUP(6186,季財報!A:N,8,0)</f>
        <v>#N/A</v>
      </c>
    </row>
    <row r="1103" spans="1:14">
      <c r="A1103" s="184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197">
        <v>0</v>
      </c>
      <c r="I1103">
        <f t="shared" si="120"/>
        <v>979</v>
      </c>
      <c r="J1103" s="190">
        <v>0</v>
      </c>
      <c r="K1103">
        <f t="shared" si="122"/>
        <v>945</v>
      </c>
      <c r="L1103" s="62">
        <f t="shared" si="121"/>
        <v>983</v>
      </c>
      <c r="M1103" s="287">
        <v>0.79</v>
      </c>
      <c r="N1103" s="284">
        <f>VLOOKUP(6191,季財報!A:N,8,0)</f>
        <v>0</v>
      </c>
    </row>
    <row r="1104" spans="1:14">
      <c r="A1104" s="184">
        <v>6194</v>
      </c>
      <c r="C1104">
        <v>-22</v>
      </c>
      <c r="H1104" s="197">
        <v>0</v>
      </c>
      <c r="I1104">
        <f t="shared" si="120"/>
        <v>979</v>
      </c>
      <c r="J1104" s="190">
        <v>0</v>
      </c>
      <c r="K1104">
        <f t="shared" si="122"/>
        <v>945</v>
      </c>
      <c r="L1104" s="62">
        <f t="shared" si="121"/>
        <v>983</v>
      </c>
      <c r="M1104" s="287">
        <v>0.79</v>
      </c>
      <c r="N1104" s="284">
        <f>VLOOKUP(6194,季財報!A:N,8,0)</f>
        <v>3</v>
      </c>
    </row>
    <row r="1105" spans="1:14">
      <c r="A1105" s="184">
        <v>6198</v>
      </c>
      <c r="C1105">
        <v>-9</v>
      </c>
      <c r="H1105" s="197">
        <v>0</v>
      </c>
      <c r="I1105">
        <f t="shared" si="120"/>
        <v>979</v>
      </c>
      <c r="J1105" s="190">
        <v>0</v>
      </c>
      <c r="K1105">
        <f t="shared" si="122"/>
        <v>945</v>
      </c>
      <c r="L1105" s="62">
        <f t="shared" si="121"/>
        <v>983</v>
      </c>
      <c r="M1105" s="287">
        <v>0.79</v>
      </c>
      <c r="N1105" s="284">
        <f>VLOOKUP(6198,季財報!A:N,8,0)</f>
        <v>3</v>
      </c>
    </row>
    <row r="1106" spans="1:14">
      <c r="A1106" s="184">
        <v>6209</v>
      </c>
      <c r="C1106">
        <v>-3</v>
      </c>
      <c r="H1106" s="197">
        <v>0</v>
      </c>
      <c r="I1106">
        <f t="shared" si="120"/>
        <v>979</v>
      </c>
      <c r="J1106" s="190">
        <v>0</v>
      </c>
      <c r="K1106">
        <f t="shared" si="122"/>
        <v>945</v>
      </c>
      <c r="L1106" s="62">
        <f t="shared" si="121"/>
        <v>983</v>
      </c>
      <c r="M1106" s="287">
        <v>0.79</v>
      </c>
      <c r="N1106" s="284">
        <f>VLOOKUP(6209,季財報!A:N,8,0)</f>
        <v>0</v>
      </c>
    </row>
    <row r="1107" spans="1:14">
      <c r="A1107" s="184">
        <v>6211</v>
      </c>
      <c r="C1107">
        <v>-8</v>
      </c>
      <c r="H1107" s="197">
        <v>0</v>
      </c>
      <c r="I1107">
        <f t="shared" si="120"/>
        <v>979</v>
      </c>
      <c r="J1107" s="190">
        <v>0</v>
      </c>
      <c r="K1107">
        <f t="shared" si="122"/>
        <v>945</v>
      </c>
      <c r="L1107" s="62">
        <f t="shared" si="121"/>
        <v>983</v>
      </c>
      <c r="M1107" s="287">
        <v>1.01</v>
      </c>
      <c r="N1107" s="284">
        <f>VLOOKUP(6211,季財報!A:N,8,0)</f>
        <v>4</v>
      </c>
    </row>
    <row r="1108" spans="1:14">
      <c r="A1108" s="184">
        <v>6225</v>
      </c>
      <c r="C1108">
        <v>-15</v>
      </c>
      <c r="H1108" s="197">
        <v>0</v>
      </c>
      <c r="I1108">
        <f t="shared" si="120"/>
        <v>979</v>
      </c>
      <c r="J1108" s="190">
        <v>0</v>
      </c>
      <c r="K1108">
        <f t="shared" si="122"/>
        <v>945</v>
      </c>
      <c r="L1108" s="62">
        <f t="shared" si="121"/>
        <v>983</v>
      </c>
      <c r="M1108" s="287">
        <v>1.46</v>
      </c>
      <c r="N1108" s="284">
        <f>VLOOKUP(6225,季財報!A:N,8,0)</f>
        <v>3</v>
      </c>
    </row>
    <row r="1109" spans="1:14">
      <c r="A1109" s="184">
        <v>6228</v>
      </c>
      <c r="C1109">
        <v>-4</v>
      </c>
      <c r="H1109" s="197">
        <v>0</v>
      </c>
      <c r="I1109">
        <f t="shared" si="120"/>
        <v>979</v>
      </c>
      <c r="J1109" s="190">
        <v>0</v>
      </c>
      <c r="K1109">
        <f t="shared" si="122"/>
        <v>945</v>
      </c>
      <c r="L1109" s="62">
        <f t="shared" si="121"/>
        <v>983</v>
      </c>
      <c r="M1109" s="287">
        <v>0.79</v>
      </c>
      <c r="N1109" s="284">
        <f>VLOOKUP(6228,季財報!A:N,8,0)</f>
        <v>4</v>
      </c>
    </row>
    <row r="1110" spans="1:14">
      <c r="A1110" s="184">
        <v>6231</v>
      </c>
      <c r="C1110">
        <v>-2</v>
      </c>
      <c r="H1110" s="197">
        <v>0</v>
      </c>
      <c r="I1110">
        <f t="shared" si="120"/>
        <v>979</v>
      </c>
      <c r="J1110" s="190">
        <v>0</v>
      </c>
      <c r="K1110">
        <f t="shared" si="122"/>
        <v>945</v>
      </c>
      <c r="L1110" s="62">
        <f t="shared" si="121"/>
        <v>983</v>
      </c>
      <c r="M1110" s="287">
        <v>1.58</v>
      </c>
      <c r="N1110" s="284">
        <f>VLOOKUP(6231,季財報!A:N,8,0)</f>
        <v>2</v>
      </c>
    </row>
    <row r="1111" spans="1:14">
      <c r="A1111" s="184">
        <v>6233</v>
      </c>
      <c r="C1111">
        <v>-9</v>
      </c>
      <c r="H1111" s="197">
        <v>0</v>
      </c>
      <c r="I1111">
        <f t="shared" si="120"/>
        <v>979</v>
      </c>
      <c r="J1111" s="190">
        <v>0</v>
      </c>
      <c r="K1111">
        <f t="shared" si="122"/>
        <v>945</v>
      </c>
      <c r="L1111" s="62">
        <f t="shared" si="121"/>
        <v>983</v>
      </c>
      <c r="M1111" s="287">
        <v>1.29</v>
      </c>
      <c r="N1111" s="284">
        <f>VLOOKUP(6233,季財報!A:N,8,0)</f>
        <v>2</v>
      </c>
    </row>
    <row r="1112" spans="1:14">
      <c r="A1112" s="184">
        <v>6234</v>
      </c>
      <c r="C1112">
        <v>-8</v>
      </c>
      <c r="H1112" s="197">
        <v>0</v>
      </c>
      <c r="I1112">
        <f t="shared" ref="I1112:I1175" si="123">RANK(0,H:H,0)</f>
        <v>979</v>
      </c>
      <c r="J1112" s="190">
        <v>0</v>
      </c>
      <c r="K1112">
        <f t="shared" si="122"/>
        <v>945</v>
      </c>
      <c r="L1112" s="62">
        <f t="shared" ref="L1112:L1175" si="124">RANK(0.79,M:M,0)</f>
        <v>983</v>
      </c>
      <c r="M1112" s="287">
        <v>0.79</v>
      </c>
      <c r="N1112" s="284">
        <f>VLOOKUP(6234,季財報!A:N,8,0)</f>
        <v>1</v>
      </c>
    </row>
    <row r="1113" spans="1:14">
      <c r="A1113" s="184">
        <v>6235</v>
      </c>
      <c r="C1113">
        <v>-19</v>
      </c>
      <c r="H1113" s="197">
        <v>0</v>
      </c>
      <c r="I1113">
        <f t="shared" si="123"/>
        <v>979</v>
      </c>
      <c r="J1113" s="190">
        <v>0</v>
      </c>
      <c r="K1113">
        <f t="shared" si="122"/>
        <v>945</v>
      </c>
      <c r="L1113" s="62">
        <f t="shared" si="124"/>
        <v>983</v>
      </c>
      <c r="M1113" s="287">
        <v>0.79</v>
      </c>
      <c r="N1113" s="284">
        <f>VLOOKUP(6235,季財報!A:N,8,0)</f>
        <v>2</v>
      </c>
    </row>
    <row r="1114" spans="1:14">
      <c r="A1114" s="184">
        <v>6236</v>
      </c>
      <c r="C1114">
        <v>-13</v>
      </c>
      <c r="H1114" s="197">
        <v>0</v>
      </c>
      <c r="I1114">
        <f t="shared" si="123"/>
        <v>979</v>
      </c>
      <c r="J1114" s="190">
        <v>0</v>
      </c>
      <c r="K1114">
        <f t="shared" si="122"/>
        <v>945</v>
      </c>
      <c r="L1114" s="62">
        <f t="shared" si="124"/>
        <v>983</v>
      </c>
      <c r="M1114" s="287">
        <v>0.79</v>
      </c>
      <c r="N1114" s="284">
        <f>VLOOKUP(6236,季財報!A:N,8,0)</f>
        <v>1</v>
      </c>
    </row>
    <row r="1115" spans="1:14">
      <c r="A1115" s="184">
        <v>6237</v>
      </c>
      <c r="C1115">
        <v>-2</v>
      </c>
      <c r="H1115" s="197">
        <v>0</v>
      </c>
      <c r="I1115">
        <f t="shared" si="123"/>
        <v>979</v>
      </c>
      <c r="J1115" s="190">
        <v>0</v>
      </c>
      <c r="K1115">
        <f t="shared" si="122"/>
        <v>945</v>
      </c>
      <c r="L1115" s="62">
        <f t="shared" si="124"/>
        <v>983</v>
      </c>
      <c r="M1115" s="287">
        <v>0.79</v>
      </c>
      <c r="N1115" s="284">
        <f>VLOOKUP(6237,季財報!A:N,8,0)</f>
        <v>2</v>
      </c>
    </row>
    <row r="1116" spans="1:14">
      <c r="A1116" s="184">
        <v>6241</v>
      </c>
      <c r="C1116">
        <v>-4</v>
      </c>
      <c r="H1116" s="197">
        <v>0</v>
      </c>
      <c r="I1116">
        <f t="shared" si="123"/>
        <v>979</v>
      </c>
      <c r="J1116" s="190">
        <v>0</v>
      </c>
      <c r="K1116">
        <f t="shared" si="122"/>
        <v>945</v>
      </c>
      <c r="L1116" s="62">
        <f t="shared" si="124"/>
        <v>983</v>
      </c>
      <c r="M1116" s="287">
        <v>0.79</v>
      </c>
      <c r="N1116" s="284">
        <f>VLOOKUP(6241,季財報!A:N,8,0)</f>
        <v>1</v>
      </c>
    </row>
    <row r="1117" spans="1:14">
      <c r="A1117" s="184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197">
        <v>0</v>
      </c>
      <c r="I1117">
        <f t="shared" si="123"/>
        <v>979</v>
      </c>
      <c r="J1117" s="190">
        <v>0</v>
      </c>
      <c r="K1117">
        <f t="shared" si="122"/>
        <v>945</v>
      </c>
      <c r="L1117" s="62">
        <f t="shared" si="124"/>
        <v>983</v>
      </c>
      <c r="M1117" s="287">
        <v>0.79</v>
      </c>
      <c r="N1117" s="284">
        <f>VLOOKUP(8027,季財報!A:N,8,0)</f>
        <v>2</v>
      </c>
    </row>
    <row r="1118" spans="1:14">
      <c r="A1118" s="184">
        <v>5014</v>
      </c>
      <c r="C1118">
        <v>-64</v>
      </c>
      <c r="H1118" s="197">
        <v>0</v>
      </c>
      <c r="I1118">
        <f t="shared" si="123"/>
        <v>979</v>
      </c>
      <c r="J1118" s="190">
        <v>0</v>
      </c>
      <c r="K1118">
        <f t="shared" si="122"/>
        <v>945</v>
      </c>
      <c r="L1118" s="62">
        <f t="shared" si="124"/>
        <v>983</v>
      </c>
      <c r="M1118" s="287">
        <v>0.79</v>
      </c>
      <c r="N1118" s="284">
        <f>VLOOKUP(5014,季財報!A:N,8,0)</f>
        <v>3</v>
      </c>
    </row>
    <row r="1119" spans="1:14">
      <c r="A1119" s="184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197">
        <v>0</v>
      </c>
      <c r="I1119">
        <f t="shared" si="123"/>
        <v>979</v>
      </c>
      <c r="J1119" s="190">
        <v>0</v>
      </c>
      <c r="K1119">
        <f t="shared" si="122"/>
        <v>945</v>
      </c>
      <c r="L1119" s="62">
        <f t="shared" si="124"/>
        <v>983</v>
      </c>
      <c r="M1119" s="287">
        <v>0.79</v>
      </c>
      <c r="N1119" s="284">
        <f>VLOOKUP(5201,季財報!A:N,8,0)</f>
        <v>4</v>
      </c>
    </row>
    <row r="1120" spans="1:14">
      <c r="A1120" s="184">
        <v>5202</v>
      </c>
      <c r="C1120">
        <v>0</v>
      </c>
      <c r="H1120" s="197">
        <v>0</v>
      </c>
      <c r="I1120">
        <f t="shared" si="123"/>
        <v>979</v>
      </c>
      <c r="J1120" s="190">
        <v>0</v>
      </c>
      <c r="K1120">
        <f t="shared" si="122"/>
        <v>945</v>
      </c>
      <c r="L1120" s="62">
        <f t="shared" si="124"/>
        <v>983</v>
      </c>
      <c r="M1120" s="287">
        <v>0.79</v>
      </c>
      <c r="N1120" s="284">
        <f>VLOOKUP(5202,季財報!A:N,8,0)</f>
        <v>2</v>
      </c>
    </row>
    <row r="1121" spans="1:14">
      <c r="A1121" s="184">
        <v>5205</v>
      </c>
      <c r="C1121">
        <v>-4</v>
      </c>
      <c r="H1121" s="197">
        <v>0</v>
      </c>
      <c r="I1121">
        <f t="shared" si="123"/>
        <v>979</v>
      </c>
      <c r="J1121" s="190">
        <v>0</v>
      </c>
      <c r="K1121">
        <f t="shared" si="122"/>
        <v>945</v>
      </c>
      <c r="L1121" s="62">
        <f t="shared" si="124"/>
        <v>983</v>
      </c>
      <c r="M1121" s="287">
        <v>0.79</v>
      </c>
      <c r="N1121" s="284">
        <f>VLOOKUP(5205,季財報!A:N,8,0)</f>
        <v>0</v>
      </c>
    </row>
    <row r="1122" spans="1:14">
      <c r="A1122" s="184">
        <v>5210</v>
      </c>
      <c r="C1122">
        <v>-19</v>
      </c>
      <c r="H1122" s="197">
        <v>0</v>
      </c>
      <c r="I1122">
        <f t="shared" si="123"/>
        <v>979</v>
      </c>
      <c r="J1122" s="190">
        <v>0</v>
      </c>
      <c r="K1122">
        <f t="shared" si="122"/>
        <v>945</v>
      </c>
      <c r="L1122" s="62">
        <f t="shared" si="124"/>
        <v>983</v>
      </c>
      <c r="M1122" s="287">
        <v>1.62</v>
      </c>
      <c r="N1122" s="284">
        <f>VLOOKUP(5210,季財報!A:N,8,0)</f>
        <v>2</v>
      </c>
    </row>
    <row r="1123" spans="1:14">
      <c r="A1123" s="184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197">
        <v>0</v>
      </c>
      <c r="I1123">
        <f t="shared" si="123"/>
        <v>979</v>
      </c>
      <c r="J1123" s="190">
        <v>0</v>
      </c>
      <c r="K1123">
        <f t="shared" si="122"/>
        <v>945</v>
      </c>
      <c r="L1123" s="62">
        <f t="shared" si="124"/>
        <v>983</v>
      </c>
      <c r="M1123" s="287">
        <v>0.79</v>
      </c>
      <c r="N1123" s="284">
        <f>VLOOKUP(5213,季財報!A:N,8,0)</f>
        <v>1</v>
      </c>
    </row>
    <row r="1124" spans="1:14">
      <c r="A1124" s="184">
        <v>5227</v>
      </c>
      <c r="C1124">
        <v>-97</v>
      </c>
      <c r="H1124" s="197">
        <v>0</v>
      </c>
      <c r="I1124">
        <f t="shared" si="123"/>
        <v>979</v>
      </c>
      <c r="J1124" s="190">
        <v>0</v>
      </c>
      <c r="K1124">
        <f t="shared" si="122"/>
        <v>945</v>
      </c>
      <c r="L1124" s="62">
        <f t="shared" si="124"/>
        <v>983</v>
      </c>
      <c r="M1124" s="287">
        <v>0.79</v>
      </c>
      <c r="N1124" s="284">
        <f>VLOOKUP(5227,季財報!A:N,8,0)</f>
        <v>4</v>
      </c>
    </row>
    <row r="1125" spans="1:14">
      <c r="A1125" s="184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197">
        <v>0</v>
      </c>
      <c r="I1125">
        <f t="shared" si="123"/>
        <v>979</v>
      </c>
      <c r="J1125" s="190">
        <v>0</v>
      </c>
      <c r="K1125">
        <f t="shared" si="122"/>
        <v>945</v>
      </c>
      <c r="L1125" s="62">
        <f t="shared" si="124"/>
        <v>983</v>
      </c>
      <c r="M1125" s="287">
        <v>0.79</v>
      </c>
      <c r="N1125" s="284">
        <f>VLOOKUP(5243,季財報!A:N,8,0)</f>
        <v>1</v>
      </c>
    </row>
    <row r="1126" spans="1:14">
      <c r="A1126" s="184">
        <v>5251</v>
      </c>
      <c r="C1126">
        <v>-1</v>
      </c>
      <c r="H1126" s="197">
        <v>0</v>
      </c>
      <c r="I1126">
        <f t="shared" si="123"/>
        <v>979</v>
      </c>
      <c r="J1126" s="190">
        <v>0</v>
      </c>
      <c r="K1126">
        <f t="shared" si="122"/>
        <v>945</v>
      </c>
      <c r="L1126" s="62">
        <f t="shared" si="124"/>
        <v>983</v>
      </c>
      <c r="M1126" s="287">
        <v>0.79</v>
      </c>
      <c r="N1126" s="284">
        <f>VLOOKUP(5251,季財報!A:N,8,0)</f>
        <v>2</v>
      </c>
    </row>
    <row r="1127" spans="1:14">
      <c r="A1127" s="184">
        <v>5259</v>
      </c>
      <c r="C1127">
        <v>-142</v>
      </c>
      <c r="H1127" s="197">
        <v>0</v>
      </c>
      <c r="I1127">
        <f t="shared" si="123"/>
        <v>979</v>
      </c>
      <c r="J1127" s="190">
        <v>0</v>
      </c>
      <c r="K1127">
        <f t="shared" si="122"/>
        <v>945</v>
      </c>
      <c r="L1127" s="62">
        <f t="shared" si="124"/>
        <v>983</v>
      </c>
      <c r="M1127" s="287">
        <v>0.79</v>
      </c>
      <c r="N1127" s="284">
        <f>VLOOKUP(5259,季財報!A:N,8,0)</f>
        <v>0</v>
      </c>
    </row>
    <row r="1128" spans="1:14">
      <c r="A1128" s="184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197">
        <v>0</v>
      </c>
      <c r="I1128">
        <f t="shared" si="123"/>
        <v>979</v>
      </c>
      <c r="J1128" s="190">
        <v>0</v>
      </c>
      <c r="K1128">
        <f t="shared" si="122"/>
        <v>945</v>
      </c>
      <c r="L1128" s="62">
        <f t="shared" si="124"/>
        <v>983</v>
      </c>
      <c r="M1128" s="287">
        <v>1.01</v>
      </c>
      <c r="N1128" s="284">
        <f>VLOOKUP(5272,季財報!A:N,8,0)</f>
        <v>1</v>
      </c>
    </row>
    <row r="1129" spans="1:14">
      <c r="A1129" s="184">
        <v>5278</v>
      </c>
      <c r="C1129">
        <v>-21</v>
      </c>
      <c r="H1129" s="197">
        <v>0</v>
      </c>
      <c r="I1129">
        <f t="shared" si="123"/>
        <v>979</v>
      </c>
      <c r="J1129" s="190">
        <v>0</v>
      </c>
      <c r="K1129">
        <f t="shared" si="122"/>
        <v>945</v>
      </c>
      <c r="L1129" s="62">
        <f t="shared" si="124"/>
        <v>983</v>
      </c>
      <c r="M1129" s="287">
        <v>0.79</v>
      </c>
      <c r="N1129" s="284">
        <f>VLOOKUP(5278,季財報!A:N,8,0)</f>
        <v>2</v>
      </c>
    </row>
    <row r="1130" spans="1:14">
      <c r="A1130" s="184">
        <v>5291</v>
      </c>
      <c r="C1130">
        <v>-12</v>
      </c>
      <c r="H1130" s="197">
        <v>0</v>
      </c>
      <c r="I1130">
        <f t="shared" si="123"/>
        <v>979</v>
      </c>
      <c r="J1130" s="190">
        <v>0</v>
      </c>
      <c r="K1130">
        <f t="shared" si="122"/>
        <v>945</v>
      </c>
      <c r="L1130" s="62">
        <f t="shared" si="124"/>
        <v>983</v>
      </c>
      <c r="M1130" s="287">
        <v>0.79</v>
      </c>
      <c r="N1130" s="284">
        <f>VLOOKUP(5291,季財報!A:N,8,0)</f>
        <v>1</v>
      </c>
    </row>
    <row r="1131" spans="1:14">
      <c r="A1131" s="184">
        <v>5301</v>
      </c>
      <c r="C1131">
        <v>-26</v>
      </c>
      <c r="H1131" s="197">
        <v>0</v>
      </c>
      <c r="I1131">
        <f t="shared" si="123"/>
        <v>979</v>
      </c>
      <c r="J1131" s="190">
        <v>0</v>
      </c>
      <c r="K1131">
        <f t="shared" si="122"/>
        <v>945</v>
      </c>
      <c r="L1131" s="62">
        <f t="shared" si="124"/>
        <v>983</v>
      </c>
      <c r="M1131" s="287">
        <v>0.79</v>
      </c>
      <c r="N1131" s="284">
        <f>VLOOKUP(5301,季財報!A:N,8,0)</f>
        <v>0</v>
      </c>
    </row>
    <row r="1132" spans="1:14">
      <c r="A1132" s="184">
        <v>5302</v>
      </c>
      <c r="C1132">
        <v>-10</v>
      </c>
      <c r="H1132" s="197">
        <v>0</v>
      </c>
      <c r="I1132">
        <f t="shared" si="123"/>
        <v>979</v>
      </c>
      <c r="J1132" s="190">
        <v>0</v>
      </c>
      <c r="K1132">
        <f t="shared" si="122"/>
        <v>945</v>
      </c>
      <c r="L1132" s="62">
        <f t="shared" si="124"/>
        <v>983</v>
      </c>
      <c r="M1132" s="287">
        <v>0.79</v>
      </c>
      <c r="N1132" s="284">
        <f>VLOOKUP(5302,季財報!A:N,8,0)</f>
        <v>2</v>
      </c>
    </row>
    <row r="1133" spans="1:14">
      <c r="A1133" s="184">
        <v>5304</v>
      </c>
      <c r="C1133">
        <v>-20</v>
      </c>
      <c r="H1133" s="197">
        <v>0</v>
      </c>
      <c r="I1133">
        <f t="shared" si="123"/>
        <v>979</v>
      </c>
      <c r="J1133" s="190">
        <v>0</v>
      </c>
      <c r="K1133">
        <f t="shared" si="122"/>
        <v>945</v>
      </c>
      <c r="L1133" s="62">
        <f t="shared" si="124"/>
        <v>983</v>
      </c>
      <c r="M1133" s="287">
        <v>0.79</v>
      </c>
      <c r="N1133" s="284">
        <f>VLOOKUP(5304,季財報!A:N,8,0)</f>
        <v>4</v>
      </c>
    </row>
    <row r="1134" spans="1:14">
      <c r="A1134" s="184">
        <v>5309</v>
      </c>
      <c r="C1134">
        <v>-71</v>
      </c>
      <c r="H1134" s="197">
        <v>0</v>
      </c>
      <c r="I1134">
        <f t="shared" si="123"/>
        <v>979</v>
      </c>
      <c r="J1134" s="190">
        <v>0</v>
      </c>
      <c r="K1134">
        <f t="shared" si="122"/>
        <v>945</v>
      </c>
      <c r="L1134" s="62">
        <f t="shared" si="124"/>
        <v>983</v>
      </c>
      <c r="M1134" s="287">
        <v>0.79</v>
      </c>
      <c r="N1134" s="284">
        <f>VLOOKUP(5309,季財報!A:N,8,0)</f>
        <v>2</v>
      </c>
    </row>
    <row r="1135" spans="1:14">
      <c r="A1135" s="184">
        <v>5310</v>
      </c>
      <c r="C1135">
        <v>0</v>
      </c>
      <c r="H1135" s="197">
        <v>0</v>
      </c>
      <c r="I1135">
        <f t="shared" si="123"/>
        <v>979</v>
      </c>
      <c r="J1135" s="190">
        <v>0</v>
      </c>
      <c r="K1135">
        <f t="shared" si="122"/>
        <v>945</v>
      </c>
      <c r="L1135" s="62">
        <f t="shared" si="124"/>
        <v>983</v>
      </c>
      <c r="M1135" s="287">
        <v>0.79</v>
      </c>
      <c r="N1135" s="284">
        <f>VLOOKUP(5310,季財報!A:N,8,0)</f>
        <v>2</v>
      </c>
    </row>
    <row r="1136" spans="1:14">
      <c r="A1136" s="184">
        <v>5314</v>
      </c>
      <c r="C1136">
        <v>-16</v>
      </c>
      <c r="H1136" s="197">
        <v>0</v>
      </c>
      <c r="I1136">
        <f t="shared" si="123"/>
        <v>979</v>
      </c>
      <c r="J1136" s="190">
        <v>0</v>
      </c>
      <c r="K1136">
        <f t="shared" si="122"/>
        <v>945</v>
      </c>
      <c r="L1136" s="62">
        <f t="shared" si="124"/>
        <v>983</v>
      </c>
      <c r="M1136" s="287">
        <v>0.79</v>
      </c>
      <c r="N1136" s="284">
        <f>VLOOKUP(5314,季財報!A:N,8,0)</f>
        <v>1</v>
      </c>
    </row>
    <row r="1137" spans="1:14">
      <c r="A1137" s="184">
        <v>5324</v>
      </c>
      <c r="C1137">
        <v>-30</v>
      </c>
      <c r="H1137" s="197">
        <v>0</v>
      </c>
      <c r="I1137">
        <f t="shared" si="123"/>
        <v>979</v>
      </c>
      <c r="J1137" s="190">
        <v>0</v>
      </c>
      <c r="K1137">
        <f t="shared" si="122"/>
        <v>945</v>
      </c>
      <c r="L1137" s="62">
        <f t="shared" si="124"/>
        <v>983</v>
      </c>
      <c r="M1137" s="287">
        <v>1.1399999999999999</v>
      </c>
      <c r="N1137" s="284">
        <f>VLOOKUP(5324,季財報!A:N,8,0)</f>
        <v>1</v>
      </c>
    </row>
    <row r="1138" spans="1:14">
      <c r="A1138" s="184">
        <v>5328</v>
      </c>
      <c r="C1138">
        <v>-3</v>
      </c>
      <c r="H1138" s="197">
        <v>0</v>
      </c>
      <c r="I1138">
        <f t="shared" si="123"/>
        <v>979</v>
      </c>
      <c r="J1138" s="190">
        <v>0</v>
      </c>
      <c r="K1138">
        <f t="shared" si="122"/>
        <v>945</v>
      </c>
      <c r="L1138" s="62">
        <f t="shared" si="124"/>
        <v>983</v>
      </c>
      <c r="M1138" s="287">
        <v>0.79</v>
      </c>
      <c r="N1138" s="284">
        <f>VLOOKUP(5328,季財報!A:N,8,0)</f>
        <v>3</v>
      </c>
    </row>
    <row r="1139" spans="1:14">
      <c r="A1139" s="184">
        <v>5340</v>
      </c>
      <c r="C1139">
        <v>-22</v>
      </c>
      <c r="H1139" s="197">
        <v>0</v>
      </c>
      <c r="I1139">
        <f t="shared" si="123"/>
        <v>979</v>
      </c>
      <c r="J1139" s="190">
        <v>0</v>
      </c>
      <c r="K1139">
        <f t="shared" si="122"/>
        <v>945</v>
      </c>
      <c r="L1139" s="62">
        <f t="shared" si="124"/>
        <v>983</v>
      </c>
      <c r="M1139" s="287">
        <v>0.79</v>
      </c>
      <c r="N1139" s="284">
        <f>VLOOKUP(5340,季財報!A:N,8,0)</f>
        <v>1</v>
      </c>
    </row>
    <row r="1140" spans="1:14">
      <c r="A1140" s="184">
        <v>5344</v>
      </c>
      <c r="C1140">
        <v>-22</v>
      </c>
      <c r="H1140" s="197">
        <v>0</v>
      </c>
      <c r="I1140">
        <f t="shared" si="123"/>
        <v>979</v>
      </c>
      <c r="J1140" s="190">
        <v>0</v>
      </c>
      <c r="K1140">
        <f t="shared" si="122"/>
        <v>945</v>
      </c>
      <c r="L1140" s="62">
        <f t="shared" si="124"/>
        <v>983</v>
      </c>
      <c r="M1140" s="287">
        <v>0.79</v>
      </c>
      <c r="N1140" s="284">
        <f>VLOOKUP(5344,季財報!A:N,8,0)</f>
        <v>4</v>
      </c>
    </row>
    <row r="1141" spans="1:14">
      <c r="A1141" s="184">
        <v>5345</v>
      </c>
      <c r="C1141">
        <v>-4</v>
      </c>
      <c r="H1141" s="197">
        <v>0</v>
      </c>
      <c r="I1141">
        <f t="shared" si="123"/>
        <v>979</v>
      </c>
      <c r="J1141" s="190">
        <v>0</v>
      </c>
      <c r="K1141">
        <f t="shared" si="122"/>
        <v>945</v>
      </c>
      <c r="L1141" s="62">
        <f t="shared" si="124"/>
        <v>983</v>
      </c>
      <c r="M1141" s="287">
        <v>0.79</v>
      </c>
      <c r="N1141" s="284">
        <f>VLOOKUP(5345,季財報!A:N,8,0)</f>
        <v>3</v>
      </c>
    </row>
    <row r="1142" spans="1:14">
      <c r="A1142" s="184">
        <v>5348</v>
      </c>
      <c r="C1142">
        <v>-10</v>
      </c>
      <c r="H1142" s="197">
        <v>0</v>
      </c>
      <c r="I1142">
        <f t="shared" si="123"/>
        <v>979</v>
      </c>
      <c r="J1142" s="190">
        <v>0</v>
      </c>
      <c r="K1142">
        <f t="shared" si="122"/>
        <v>945</v>
      </c>
      <c r="L1142" s="62">
        <f t="shared" si="124"/>
        <v>983</v>
      </c>
      <c r="M1142" s="287">
        <v>0.79</v>
      </c>
      <c r="N1142" s="284">
        <f>VLOOKUP(5348,季財報!A:N,8,0)</f>
        <v>5</v>
      </c>
    </row>
    <row r="1143" spans="1:14">
      <c r="A1143" s="184">
        <v>5351</v>
      </c>
      <c r="C1143">
        <v>-84</v>
      </c>
      <c r="H1143" s="197">
        <v>0</v>
      </c>
      <c r="I1143">
        <f t="shared" si="123"/>
        <v>979</v>
      </c>
      <c r="J1143" s="190">
        <v>0</v>
      </c>
      <c r="K1143">
        <f t="shared" si="122"/>
        <v>945</v>
      </c>
      <c r="L1143" s="62">
        <f t="shared" si="124"/>
        <v>983</v>
      </c>
      <c r="M1143" s="287">
        <v>1.1399999999999999</v>
      </c>
      <c r="N1143" s="284">
        <f>VLOOKUP(5351,季財報!A:N,8,0)</f>
        <v>0</v>
      </c>
    </row>
    <row r="1144" spans="1:14">
      <c r="A1144" s="184">
        <v>5355</v>
      </c>
      <c r="C1144">
        <v>-3</v>
      </c>
      <c r="H1144" s="197">
        <v>0</v>
      </c>
      <c r="I1144">
        <f t="shared" si="123"/>
        <v>979</v>
      </c>
      <c r="J1144" s="190">
        <v>0</v>
      </c>
      <c r="K1144">
        <f t="shared" ref="K1144:K1207" si="125">RANK(0,J:J,0)</f>
        <v>945</v>
      </c>
      <c r="L1144" s="62">
        <f t="shared" si="124"/>
        <v>983</v>
      </c>
      <c r="M1144" s="287">
        <v>0.79</v>
      </c>
      <c r="N1144" s="284">
        <f>VLOOKUP(5355,季財報!A:N,8,0)</f>
        <v>2</v>
      </c>
    </row>
    <row r="1145" spans="1:14">
      <c r="A1145" s="184">
        <v>5383</v>
      </c>
      <c r="C1145">
        <v>-31</v>
      </c>
      <c r="H1145" s="197">
        <v>0</v>
      </c>
      <c r="I1145">
        <f t="shared" si="123"/>
        <v>979</v>
      </c>
      <c r="J1145" s="190">
        <v>0</v>
      </c>
      <c r="K1145">
        <f t="shared" si="125"/>
        <v>945</v>
      </c>
      <c r="L1145" s="62">
        <f t="shared" si="124"/>
        <v>983</v>
      </c>
      <c r="M1145" s="287">
        <v>1.01</v>
      </c>
      <c r="N1145" s="284">
        <f>VLOOKUP(5383,季財報!A:N,8,0)</f>
        <v>0</v>
      </c>
    </row>
    <row r="1146" spans="1:14">
      <c r="A1146" s="184">
        <v>5450</v>
      </c>
      <c r="C1146">
        <v>-7</v>
      </c>
      <c r="H1146" s="197">
        <v>0</v>
      </c>
      <c r="I1146">
        <f t="shared" si="123"/>
        <v>979</v>
      </c>
      <c r="J1146" s="190">
        <v>0</v>
      </c>
      <c r="K1146">
        <f t="shared" si="125"/>
        <v>945</v>
      </c>
      <c r="L1146" s="62">
        <f t="shared" si="124"/>
        <v>983</v>
      </c>
      <c r="M1146" s="287">
        <v>0.79</v>
      </c>
      <c r="N1146" s="284">
        <f>VLOOKUP(5450,季財報!A:N,8,0)</f>
        <v>3</v>
      </c>
    </row>
    <row r="1147" spans="1:14">
      <c r="A1147" s="184">
        <v>5455</v>
      </c>
      <c r="C1147">
        <v>-11</v>
      </c>
      <c r="H1147" s="197">
        <v>0</v>
      </c>
      <c r="I1147">
        <f t="shared" si="123"/>
        <v>979</v>
      </c>
      <c r="J1147" s="190">
        <v>0</v>
      </c>
      <c r="K1147">
        <f t="shared" si="125"/>
        <v>945</v>
      </c>
      <c r="L1147" s="62">
        <f t="shared" si="124"/>
        <v>983</v>
      </c>
      <c r="M1147" s="287">
        <v>1.01</v>
      </c>
      <c r="N1147" s="284">
        <f>VLOOKUP(5455,季財報!A:N,8,0)</f>
        <v>0</v>
      </c>
    </row>
    <row r="1148" spans="1:14">
      <c r="A1148" s="184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197">
        <v>0</v>
      </c>
      <c r="I1148">
        <f t="shared" si="123"/>
        <v>979</v>
      </c>
      <c r="J1148" s="190">
        <v>0</v>
      </c>
      <c r="K1148">
        <f t="shared" si="125"/>
        <v>945</v>
      </c>
      <c r="L1148" s="62">
        <f t="shared" si="124"/>
        <v>983</v>
      </c>
      <c r="M1148" s="287">
        <v>0.79</v>
      </c>
      <c r="N1148" s="284">
        <f>VLOOKUP(5464,季財報!A:N,8,0)</f>
        <v>2</v>
      </c>
    </row>
    <row r="1149" spans="1:14">
      <c r="A1149" s="184">
        <v>5465</v>
      </c>
      <c r="C1149">
        <v>-11</v>
      </c>
      <c r="H1149" s="197">
        <v>0</v>
      </c>
      <c r="I1149">
        <f t="shared" si="123"/>
        <v>979</v>
      </c>
      <c r="J1149" s="190">
        <v>0</v>
      </c>
      <c r="K1149">
        <f t="shared" si="125"/>
        <v>945</v>
      </c>
      <c r="L1149" s="62">
        <f t="shared" si="124"/>
        <v>983</v>
      </c>
      <c r="M1149" s="287">
        <v>0.79</v>
      </c>
      <c r="N1149" s="284">
        <f>VLOOKUP(5465,季財報!A:N,8,0)</f>
        <v>2</v>
      </c>
    </row>
    <row r="1150" spans="1:14">
      <c r="A1150" s="184">
        <v>5468</v>
      </c>
      <c r="C1150">
        <v>-1</v>
      </c>
      <c r="H1150" s="197">
        <v>0</v>
      </c>
      <c r="I1150">
        <f t="shared" si="123"/>
        <v>979</v>
      </c>
      <c r="J1150" s="190">
        <v>0</v>
      </c>
      <c r="K1150">
        <f t="shared" si="125"/>
        <v>945</v>
      </c>
      <c r="L1150" s="62">
        <f t="shared" si="124"/>
        <v>983</v>
      </c>
      <c r="M1150" s="287">
        <v>5.24</v>
      </c>
      <c r="N1150" s="284">
        <f>VLOOKUP(5468,季財報!A:N,8,0)</f>
        <v>2</v>
      </c>
    </row>
    <row r="1151" spans="1:14">
      <c r="A1151" s="184">
        <v>5475</v>
      </c>
      <c r="C1151">
        <v>-77</v>
      </c>
      <c r="H1151" s="197">
        <v>0</v>
      </c>
      <c r="I1151">
        <f t="shared" si="123"/>
        <v>979</v>
      </c>
      <c r="J1151" s="190">
        <v>0</v>
      </c>
      <c r="K1151">
        <f t="shared" si="125"/>
        <v>945</v>
      </c>
      <c r="L1151" s="62">
        <f t="shared" si="124"/>
        <v>983</v>
      </c>
      <c r="M1151" s="287">
        <v>0.79</v>
      </c>
      <c r="N1151" s="284">
        <f>VLOOKUP(5475,季財報!A:N,8,0)</f>
        <v>1</v>
      </c>
    </row>
    <row r="1152" spans="1:14">
      <c r="A1152" s="184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197">
        <v>0</v>
      </c>
      <c r="I1152">
        <f t="shared" si="123"/>
        <v>979</v>
      </c>
      <c r="J1152" s="190">
        <v>0</v>
      </c>
      <c r="K1152">
        <f t="shared" si="125"/>
        <v>945</v>
      </c>
      <c r="L1152" s="62">
        <f t="shared" si="124"/>
        <v>983</v>
      </c>
      <c r="M1152" s="287">
        <v>0.79</v>
      </c>
      <c r="N1152" s="284">
        <f>VLOOKUP(5478,季財報!A:N,8,0)</f>
        <v>3</v>
      </c>
    </row>
    <row r="1153" spans="1:14">
      <c r="A1153" s="184">
        <v>5481</v>
      </c>
      <c r="C1153">
        <v>-30</v>
      </c>
      <c r="H1153" s="197">
        <v>0</v>
      </c>
      <c r="I1153">
        <f t="shared" si="123"/>
        <v>979</v>
      </c>
      <c r="J1153" s="190">
        <v>0</v>
      </c>
      <c r="K1153">
        <f t="shared" si="125"/>
        <v>945</v>
      </c>
      <c r="L1153" s="62">
        <f t="shared" si="124"/>
        <v>983</v>
      </c>
      <c r="M1153" s="287">
        <v>0.79</v>
      </c>
      <c r="N1153" s="284">
        <f>VLOOKUP(5481,季財報!A:N,8,0)</f>
        <v>1</v>
      </c>
    </row>
    <row r="1154" spans="1:14">
      <c r="A1154" s="184">
        <v>5484</v>
      </c>
      <c r="C1154">
        <v>-44</v>
      </c>
      <c r="H1154" s="197">
        <v>0</v>
      </c>
      <c r="I1154">
        <f t="shared" si="123"/>
        <v>979</v>
      </c>
      <c r="J1154" s="190">
        <v>0</v>
      </c>
      <c r="K1154">
        <f t="shared" si="125"/>
        <v>945</v>
      </c>
      <c r="L1154" s="62">
        <f t="shared" si="124"/>
        <v>983</v>
      </c>
      <c r="M1154" s="287">
        <v>2.29</v>
      </c>
      <c r="N1154" s="284">
        <f>VLOOKUP(5484,季財報!A:N,8,0)</f>
        <v>4</v>
      </c>
    </row>
    <row r="1155" spans="1:14">
      <c r="A1155" s="184">
        <v>5488</v>
      </c>
      <c r="C1155">
        <v>-24</v>
      </c>
      <c r="H1155" s="197">
        <v>0</v>
      </c>
      <c r="I1155">
        <f t="shared" si="123"/>
        <v>979</v>
      </c>
      <c r="J1155" s="190">
        <v>0</v>
      </c>
      <c r="K1155">
        <f t="shared" si="125"/>
        <v>945</v>
      </c>
      <c r="L1155" s="62">
        <f t="shared" si="124"/>
        <v>983</v>
      </c>
      <c r="M1155" s="287">
        <v>1.58</v>
      </c>
      <c r="N1155" s="284">
        <f>VLOOKUP(5488,季財報!A:N,8,0)</f>
        <v>2</v>
      </c>
    </row>
    <row r="1156" spans="1:14">
      <c r="A1156" s="184">
        <v>5491</v>
      </c>
      <c r="C1156">
        <v>0</v>
      </c>
      <c r="H1156" s="197">
        <v>0</v>
      </c>
      <c r="I1156">
        <f t="shared" si="123"/>
        <v>979</v>
      </c>
      <c r="J1156" s="190">
        <v>0</v>
      </c>
      <c r="K1156">
        <f t="shared" si="125"/>
        <v>945</v>
      </c>
      <c r="L1156" s="62">
        <f t="shared" si="124"/>
        <v>983</v>
      </c>
      <c r="M1156" s="287">
        <v>0.79</v>
      </c>
      <c r="N1156" s="284">
        <f>VLOOKUP(5491,季財報!A:N,8,0)</f>
        <v>2</v>
      </c>
    </row>
    <row r="1157" spans="1:14">
      <c r="A1157" s="184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197">
        <v>0</v>
      </c>
      <c r="I1157">
        <f t="shared" si="123"/>
        <v>979</v>
      </c>
      <c r="J1157" s="190">
        <v>0</v>
      </c>
      <c r="K1157">
        <f t="shared" si="125"/>
        <v>945</v>
      </c>
      <c r="L1157" s="62">
        <f t="shared" si="124"/>
        <v>983</v>
      </c>
      <c r="M1157" s="287">
        <v>0.79</v>
      </c>
      <c r="N1157" s="284">
        <f>VLOOKUP(5498,季財報!A:N,8,0)</f>
        <v>1</v>
      </c>
    </row>
    <row r="1158" spans="1:14">
      <c r="A1158" s="184">
        <v>5506</v>
      </c>
      <c r="C1158">
        <v>-30</v>
      </c>
      <c r="H1158" s="197">
        <v>0</v>
      </c>
      <c r="I1158">
        <f t="shared" si="123"/>
        <v>979</v>
      </c>
      <c r="J1158" s="190">
        <v>0</v>
      </c>
      <c r="K1158">
        <f t="shared" si="125"/>
        <v>945</v>
      </c>
      <c r="L1158" s="62">
        <f t="shared" si="124"/>
        <v>983</v>
      </c>
      <c r="M1158" s="287">
        <v>0.79</v>
      </c>
      <c r="N1158" s="284">
        <f>VLOOKUP(5506,季財報!A:N,8,0)</f>
        <v>0</v>
      </c>
    </row>
    <row r="1159" spans="1:14">
      <c r="A1159" s="184">
        <v>5514</v>
      </c>
      <c r="C1159">
        <v>-9</v>
      </c>
      <c r="H1159" s="197">
        <v>0</v>
      </c>
      <c r="I1159">
        <f t="shared" si="123"/>
        <v>979</v>
      </c>
      <c r="J1159" s="190">
        <v>0</v>
      </c>
      <c r="K1159">
        <f t="shared" si="125"/>
        <v>945</v>
      </c>
      <c r="L1159" s="62">
        <f t="shared" si="124"/>
        <v>983</v>
      </c>
      <c r="M1159" s="287">
        <v>0.79</v>
      </c>
      <c r="N1159" s="284">
        <f>VLOOKUP(5514,季財報!A:N,8,0)</f>
        <v>1</v>
      </c>
    </row>
    <row r="1160" spans="1:14">
      <c r="A1160" s="184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197">
        <v>0</v>
      </c>
      <c r="I1160">
        <f t="shared" si="123"/>
        <v>979</v>
      </c>
      <c r="J1160" s="190">
        <v>0</v>
      </c>
      <c r="K1160">
        <f t="shared" si="125"/>
        <v>945</v>
      </c>
      <c r="L1160" s="62">
        <f t="shared" si="124"/>
        <v>983</v>
      </c>
      <c r="M1160" s="287">
        <v>0.79</v>
      </c>
      <c r="N1160" s="284">
        <f>VLOOKUP(5515,季財報!A:N,8,0)</f>
        <v>1</v>
      </c>
    </row>
    <row r="1161" spans="1:14">
      <c r="A1161" s="184">
        <v>5516</v>
      </c>
      <c r="C1161">
        <v>-1</v>
      </c>
      <c r="H1161" s="197">
        <v>0</v>
      </c>
      <c r="I1161">
        <f t="shared" si="123"/>
        <v>979</v>
      </c>
      <c r="J1161" s="190">
        <v>0</v>
      </c>
      <c r="K1161">
        <f t="shared" si="125"/>
        <v>945</v>
      </c>
      <c r="L1161" s="62">
        <f t="shared" si="124"/>
        <v>983</v>
      </c>
      <c r="M1161" s="287">
        <v>2.09</v>
      </c>
      <c r="N1161" s="284">
        <f>VLOOKUP(5516,季財報!A:N,8,0)</f>
        <v>1</v>
      </c>
    </row>
    <row r="1162" spans="1:14">
      <c r="A1162" s="184">
        <v>5521</v>
      </c>
      <c r="C1162">
        <v>-15</v>
      </c>
      <c r="H1162" s="197">
        <v>0</v>
      </c>
      <c r="I1162">
        <f t="shared" si="123"/>
        <v>979</v>
      </c>
      <c r="J1162" s="190">
        <v>0</v>
      </c>
      <c r="K1162">
        <f t="shared" si="125"/>
        <v>945</v>
      </c>
      <c r="L1162" s="62">
        <f t="shared" si="124"/>
        <v>983</v>
      </c>
      <c r="M1162" s="287">
        <v>1.9</v>
      </c>
      <c r="N1162" s="284">
        <f>VLOOKUP(5521,季財報!A:N,8,0)</f>
        <v>0</v>
      </c>
    </row>
    <row r="1163" spans="1:14">
      <c r="A1163" s="184">
        <v>5701</v>
      </c>
      <c r="C1163">
        <v>-85</v>
      </c>
      <c r="H1163" s="197">
        <v>0</v>
      </c>
      <c r="I1163">
        <f t="shared" si="123"/>
        <v>979</v>
      </c>
      <c r="J1163" s="190">
        <v>0</v>
      </c>
      <c r="K1163">
        <f t="shared" si="125"/>
        <v>945</v>
      </c>
      <c r="L1163" s="62">
        <f t="shared" si="124"/>
        <v>983</v>
      </c>
      <c r="M1163" s="287">
        <v>1.01</v>
      </c>
      <c r="N1163" s="284">
        <f>VLOOKUP(5701,季財報!A:N,8,0)</f>
        <v>2</v>
      </c>
    </row>
    <row r="1164" spans="1:14">
      <c r="A1164" s="184">
        <v>5703</v>
      </c>
      <c r="C1164">
        <v>-3</v>
      </c>
      <c r="H1164" s="197">
        <v>0</v>
      </c>
      <c r="I1164">
        <f t="shared" si="123"/>
        <v>979</v>
      </c>
      <c r="J1164" s="190">
        <v>0</v>
      </c>
      <c r="K1164">
        <f t="shared" si="125"/>
        <v>945</v>
      </c>
      <c r="L1164" s="62">
        <f t="shared" si="124"/>
        <v>983</v>
      </c>
      <c r="M1164" s="287">
        <v>0.79</v>
      </c>
      <c r="N1164" s="284">
        <f>VLOOKUP(5703,季財報!A:N,8,0)</f>
        <v>1</v>
      </c>
    </row>
    <row r="1165" spans="1:14">
      <c r="A1165" s="184">
        <v>6160</v>
      </c>
      <c r="C1165">
        <v>-12</v>
      </c>
      <c r="H1165" s="197">
        <v>0</v>
      </c>
      <c r="I1165">
        <f t="shared" si="123"/>
        <v>979</v>
      </c>
      <c r="J1165" s="190">
        <v>0</v>
      </c>
      <c r="K1165">
        <f t="shared" si="125"/>
        <v>945</v>
      </c>
      <c r="L1165" s="62">
        <f t="shared" si="124"/>
        <v>983</v>
      </c>
      <c r="M1165" s="287">
        <v>0.79</v>
      </c>
      <c r="N1165" s="284">
        <f>VLOOKUP(6160,季財報!A:N,8,0)</f>
        <v>3</v>
      </c>
    </row>
    <row r="1166" spans="1:14">
      <c r="A1166" s="184">
        <v>6163</v>
      </c>
      <c r="C1166">
        <v>-96</v>
      </c>
      <c r="H1166" s="197">
        <v>0</v>
      </c>
      <c r="I1166">
        <f t="shared" si="123"/>
        <v>979</v>
      </c>
      <c r="J1166" s="190">
        <v>0</v>
      </c>
      <c r="K1166">
        <f t="shared" si="125"/>
        <v>945</v>
      </c>
      <c r="L1166" s="62">
        <f t="shared" si="124"/>
        <v>983</v>
      </c>
      <c r="M1166" s="287">
        <v>0.79</v>
      </c>
      <c r="N1166" s="284">
        <f>VLOOKUP(6163,季財報!A:N,8,0)</f>
        <v>1</v>
      </c>
    </row>
    <row r="1167" spans="1:14">
      <c r="A1167" s="184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197">
        <v>0</v>
      </c>
      <c r="I1167">
        <f t="shared" si="123"/>
        <v>979</v>
      </c>
      <c r="J1167" s="190">
        <v>0</v>
      </c>
      <c r="K1167">
        <f t="shared" si="125"/>
        <v>945</v>
      </c>
      <c r="L1167" s="62">
        <f t="shared" si="124"/>
        <v>983</v>
      </c>
      <c r="M1167" s="287">
        <v>0.79</v>
      </c>
      <c r="N1167" s="284">
        <f>VLOOKUP(6164,季財報!A:N,8,0)</f>
        <v>2</v>
      </c>
    </row>
    <row r="1168" spans="1:14">
      <c r="A1168" s="184">
        <v>6165</v>
      </c>
      <c r="C1168">
        <v>-13</v>
      </c>
      <c r="H1168" s="197">
        <v>0</v>
      </c>
      <c r="I1168">
        <f t="shared" si="123"/>
        <v>979</v>
      </c>
      <c r="J1168" s="190">
        <v>0</v>
      </c>
      <c r="K1168">
        <f t="shared" si="125"/>
        <v>945</v>
      </c>
      <c r="L1168" s="62">
        <f t="shared" si="124"/>
        <v>983</v>
      </c>
      <c r="M1168" s="287">
        <v>2.09</v>
      </c>
      <c r="N1168" s="284">
        <f>VLOOKUP(6165,季財報!A:N,8,0)</f>
        <v>2</v>
      </c>
    </row>
    <row r="1169" spans="1:14">
      <c r="A1169" s="184">
        <v>6219</v>
      </c>
      <c r="C1169">
        <v>0</v>
      </c>
      <c r="H1169" s="197">
        <v>0</v>
      </c>
      <c r="I1169">
        <f t="shared" si="123"/>
        <v>979</v>
      </c>
      <c r="J1169" s="190">
        <v>0</v>
      </c>
      <c r="K1169">
        <f t="shared" si="125"/>
        <v>945</v>
      </c>
      <c r="L1169" s="62">
        <f t="shared" si="124"/>
        <v>983</v>
      </c>
      <c r="M1169" s="287">
        <v>1.1399999999999999</v>
      </c>
      <c r="N1169" s="284">
        <f>VLOOKUP(6219,季財報!A:N,8,0)</f>
        <v>3</v>
      </c>
    </row>
    <row r="1170" spans="1:14">
      <c r="A1170" s="184">
        <v>4128</v>
      </c>
      <c r="C1170">
        <v>-95</v>
      </c>
      <c r="H1170" s="197">
        <v>0</v>
      </c>
      <c r="I1170">
        <f t="shared" si="123"/>
        <v>979</v>
      </c>
      <c r="J1170" s="190">
        <v>0</v>
      </c>
      <c r="K1170">
        <f t="shared" si="125"/>
        <v>945</v>
      </c>
      <c r="L1170" s="62">
        <f t="shared" si="124"/>
        <v>983</v>
      </c>
      <c r="M1170" s="287">
        <v>0.79</v>
      </c>
      <c r="N1170" s="284">
        <f>VLOOKUP(4128,季財報!A:N,8,0)</f>
        <v>2</v>
      </c>
    </row>
    <row r="1171" spans="1:14">
      <c r="A1171" s="184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197">
        <v>0</v>
      </c>
      <c r="I1171">
        <f t="shared" si="123"/>
        <v>979</v>
      </c>
      <c r="J1171" s="190">
        <v>0</v>
      </c>
      <c r="K1171">
        <f t="shared" si="125"/>
        <v>945</v>
      </c>
      <c r="L1171" s="62">
        <f t="shared" si="124"/>
        <v>983</v>
      </c>
      <c r="M1171" s="287">
        <v>1.01</v>
      </c>
      <c r="N1171" s="284">
        <f>VLOOKUP(4133,季財報!A:N,8,0)</f>
        <v>2</v>
      </c>
    </row>
    <row r="1172" spans="1:14">
      <c r="A1172" s="184">
        <v>4139</v>
      </c>
      <c r="C1172">
        <v>-6</v>
      </c>
      <c r="H1172" s="197">
        <v>0</v>
      </c>
      <c r="I1172">
        <f t="shared" si="123"/>
        <v>979</v>
      </c>
      <c r="J1172" s="190">
        <v>0</v>
      </c>
      <c r="K1172">
        <f t="shared" si="125"/>
        <v>945</v>
      </c>
      <c r="L1172" s="62">
        <f t="shared" si="124"/>
        <v>983</v>
      </c>
      <c r="M1172" s="287">
        <v>0.79</v>
      </c>
      <c r="N1172" s="284">
        <f>VLOOKUP(4139,季財報!A:N,8,0)</f>
        <v>2</v>
      </c>
    </row>
    <row r="1173" spans="1:14">
      <c r="A1173" s="184">
        <v>4142</v>
      </c>
      <c r="C1173">
        <v>-190</v>
      </c>
      <c r="H1173" s="197">
        <v>0</v>
      </c>
      <c r="I1173">
        <f t="shared" si="123"/>
        <v>979</v>
      </c>
      <c r="J1173" s="190">
        <v>0</v>
      </c>
      <c r="K1173">
        <f t="shared" si="125"/>
        <v>945</v>
      </c>
      <c r="L1173" s="62">
        <f t="shared" si="124"/>
        <v>983</v>
      </c>
      <c r="M1173" s="287">
        <v>6.36</v>
      </c>
      <c r="N1173" s="284">
        <f>VLOOKUP(4142,季財報!A:N,8,0)</f>
        <v>2</v>
      </c>
    </row>
    <row r="1174" spans="1:14">
      <c r="A1174" s="184">
        <v>4152</v>
      </c>
      <c r="C1174">
        <v>-195</v>
      </c>
      <c r="H1174" s="197">
        <v>0</v>
      </c>
      <c r="I1174">
        <f t="shared" si="123"/>
        <v>979</v>
      </c>
      <c r="J1174" s="190">
        <v>0</v>
      </c>
      <c r="K1174">
        <f t="shared" si="125"/>
        <v>945</v>
      </c>
      <c r="L1174" s="62">
        <f t="shared" si="124"/>
        <v>983</v>
      </c>
      <c r="M1174" s="287">
        <v>2.29</v>
      </c>
      <c r="N1174" s="284">
        <f>VLOOKUP(4152,季財報!A:N,8,0)</f>
        <v>1</v>
      </c>
    </row>
    <row r="1175" spans="1:14">
      <c r="A1175" s="184">
        <v>4154</v>
      </c>
      <c r="C1175">
        <v>0</v>
      </c>
      <c r="H1175" s="197">
        <v>0</v>
      </c>
      <c r="I1175">
        <f t="shared" si="123"/>
        <v>979</v>
      </c>
      <c r="J1175" s="190">
        <v>0</v>
      </c>
      <c r="K1175">
        <f t="shared" si="125"/>
        <v>945</v>
      </c>
      <c r="L1175" s="62">
        <f t="shared" si="124"/>
        <v>983</v>
      </c>
      <c r="M1175" s="287">
        <v>3.37</v>
      </c>
      <c r="N1175" s="284">
        <f>VLOOKUP(4154,季財報!A:N,8,0)</f>
        <v>2</v>
      </c>
    </row>
    <row r="1176" spans="1:14">
      <c r="A1176" s="184">
        <v>4157</v>
      </c>
      <c r="C1176">
        <v>-112</v>
      </c>
      <c r="H1176" s="197">
        <v>0</v>
      </c>
      <c r="I1176">
        <f t="shared" ref="I1176:I1239" si="126">RANK(0,H:H,0)</f>
        <v>979</v>
      </c>
      <c r="J1176" s="190">
        <v>0</v>
      </c>
      <c r="K1176">
        <f t="shared" si="125"/>
        <v>945</v>
      </c>
      <c r="L1176" s="62">
        <f t="shared" ref="L1176:L1239" si="127">RANK(0.79,M:M,0)</f>
        <v>983</v>
      </c>
      <c r="M1176" s="287">
        <v>1.01</v>
      </c>
      <c r="N1176" s="284">
        <f>VLOOKUP(4157,季財報!A:N,8,0)</f>
        <v>3</v>
      </c>
    </row>
    <row r="1177" spans="1:14">
      <c r="A1177" s="184">
        <v>4160</v>
      </c>
      <c r="C1177">
        <v>-6</v>
      </c>
      <c r="H1177" s="197">
        <v>0</v>
      </c>
      <c r="I1177">
        <f t="shared" si="126"/>
        <v>979</v>
      </c>
      <c r="J1177" s="190">
        <v>0</v>
      </c>
      <c r="K1177">
        <f t="shared" si="125"/>
        <v>945</v>
      </c>
      <c r="L1177" s="62">
        <f t="shared" si="127"/>
        <v>983</v>
      </c>
      <c r="M1177" s="287">
        <v>1.9</v>
      </c>
      <c r="N1177" s="284">
        <f>VLOOKUP(4160,季財報!A:N,8,0)</f>
        <v>1</v>
      </c>
    </row>
    <row r="1178" spans="1:14">
      <c r="A1178" s="184">
        <v>4162</v>
      </c>
      <c r="C1178">
        <v>-38</v>
      </c>
      <c r="H1178" s="197">
        <v>0</v>
      </c>
      <c r="I1178">
        <f t="shared" si="126"/>
        <v>979</v>
      </c>
      <c r="J1178" s="190">
        <v>0</v>
      </c>
      <c r="K1178">
        <f t="shared" si="125"/>
        <v>945</v>
      </c>
      <c r="L1178" s="62">
        <f t="shared" si="127"/>
        <v>983</v>
      </c>
      <c r="M1178" s="287">
        <v>1.01</v>
      </c>
      <c r="N1178" s="284">
        <f>VLOOKUP(4162,季財報!A:N,8,0)</f>
        <v>4</v>
      </c>
    </row>
    <row r="1179" spans="1:14">
      <c r="A1179" s="184">
        <v>4167</v>
      </c>
      <c r="C1179">
        <v>-100</v>
      </c>
      <c r="H1179" s="197">
        <v>0</v>
      </c>
      <c r="I1179">
        <f t="shared" si="126"/>
        <v>979</v>
      </c>
      <c r="J1179" s="190">
        <v>0</v>
      </c>
      <c r="K1179">
        <f t="shared" si="125"/>
        <v>945</v>
      </c>
      <c r="L1179" s="62">
        <f t="shared" si="127"/>
        <v>983</v>
      </c>
      <c r="M1179" s="287">
        <v>1.1399999999999999</v>
      </c>
      <c r="N1179" s="284">
        <f>VLOOKUP(4167,季財報!A:N,8,0)</f>
        <v>1</v>
      </c>
    </row>
    <row r="1180" spans="1:14">
      <c r="A1180" s="184">
        <v>4168</v>
      </c>
      <c r="C1180">
        <v>-25</v>
      </c>
      <c r="H1180" s="197">
        <v>0</v>
      </c>
      <c r="I1180">
        <f t="shared" si="126"/>
        <v>979</v>
      </c>
      <c r="J1180" s="190">
        <v>0</v>
      </c>
      <c r="K1180">
        <f t="shared" si="125"/>
        <v>945</v>
      </c>
      <c r="L1180" s="62">
        <f t="shared" si="127"/>
        <v>983</v>
      </c>
      <c r="M1180" s="287">
        <v>1.36</v>
      </c>
      <c r="N1180" s="284">
        <f>VLOOKUP(4168,季財報!A:N,8,0)</f>
        <v>1</v>
      </c>
    </row>
    <row r="1181" spans="1:14">
      <c r="A1181" s="184">
        <v>4171</v>
      </c>
      <c r="C1181">
        <v>-3</v>
      </c>
      <c r="H1181" s="197">
        <v>0</v>
      </c>
      <c r="I1181">
        <f t="shared" si="126"/>
        <v>979</v>
      </c>
      <c r="J1181" s="190">
        <v>0</v>
      </c>
      <c r="K1181">
        <f t="shared" si="125"/>
        <v>945</v>
      </c>
      <c r="L1181" s="62">
        <f t="shared" si="127"/>
        <v>983</v>
      </c>
      <c r="M1181" s="287">
        <v>0.79</v>
      </c>
      <c r="N1181" s="284">
        <f>VLOOKUP(4171,季財報!A:N,8,0)</f>
        <v>2</v>
      </c>
    </row>
    <row r="1182" spans="1:14">
      <c r="A1182" s="184">
        <v>4174</v>
      </c>
      <c r="C1182">
        <v>-230</v>
      </c>
      <c r="H1182" s="197">
        <v>0</v>
      </c>
      <c r="I1182">
        <f t="shared" si="126"/>
        <v>979</v>
      </c>
      <c r="J1182" s="190">
        <v>0</v>
      </c>
      <c r="K1182">
        <f t="shared" si="125"/>
        <v>945</v>
      </c>
      <c r="L1182" s="62">
        <f t="shared" si="127"/>
        <v>983</v>
      </c>
      <c r="M1182" s="287">
        <v>0.79</v>
      </c>
      <c r="N1182" s="284">
        <f>VLOOKUP(4174,季財報!A:N,8,0)</f>
        <v>1</v>
      </c>
    </row>
    <row r="1183" spans="1:14">
      <c r="A1183" s="184">
        <v>4180</v>
      </c>
      <c r="C1183">
        <v>-167</v>
      </c>
      <c r="H1183" s="197">
        <v>0</v>
      </c>
      <c r="I1183">
        <f t="shared" si="126"/>
        <v>979</v>
      </c>
      <c r="J1183" s="190">
        <v>0</v>
      </c>
      <c r="K1183">
        <f t="shared" si="125"/>
        <v>945</v>
      </c>
      <c r="L1183" s="62">
        <f t="shared" si="127"/>
        <v>983</v>
      </c>
      <c r="M1183" s="287">
        <v>0.79</v>
      </c>
      <c r="N1183" s="284">
        <f>VLOOKUP(4180,季財報!A:N,8,0)</f>
        <v>2</v>
      </c>
    </row>
    <row r="1184" spans="1:14">
      <c r="A1184" s="184">
        <v>4188</v>
      </c>
      <c r="C1184">
        <v>-15</v>
      </c>
      <c r="H1184" s="197">
        <v>0</v>
      </c>
      <c r="I1184">
        <f t="shared" si="126"/>
        <v>979</v>
      </c>
      <c r="J1184" s="190">
        <v>0</v>
      </c>
      <c r="K1184">
        <f t="shared" si="125"/>
        <v>945</v>
      </c>
      <c r="L1184" s="62">
        <f t="shared" si="127"/>
        <v>983</v>
      </c>
      <c r="M1184" s="287">
        <v>0.79</v>
      </c>
      <c r="N1184" s="284">
        <f>VLOOKUP(4188,季財報!A:N,8,0)</f>
        <v>2</v>
      </c>
    </row>
    <row r="1185" spans="1:14">
      <c r="A1185" s="184">
        <v>4192</v>
      </c>
      <c r="C1185">
        <v>-73</v>
      </c>
      <c r="H1185" s="197">
        <v>0</v>
      </c>
      <c r="I1185">
        <f t="shared" si="126"/>
        <v>979</v>
      </c>
      <c r="J1185" s="190">
        <v>0</v>
      </c>
      <c r="K1185">
        <f t="shared" si="125"/>
        <v>945</v>
      </c>
      <c r="L1185" s="62">
        <f t="shared" si="127"/>
        <v>983</v>
      </c>
      <c r="M1185" s="287">
        <v>1.59</v>
      </c>
      <c r="N1185" s="284">
        <f>VLOOKUP(4192,季財報!A:N,8,0)</f>
        <v>2</v>
      </c>
    </row>
    <row r="1186" spans="1:14">
      <c r="A1186" s="184">
        <v>4198</v>
      </c>
      <c r="C1186">
        <v>-137</v>
      </c>
      <c r="H1186" s="197">
        <v>0</v>
      </c>
      <c r="I1186">
        <f t="shared" si="126"/>
        <v>979</v>
      </c>
      <c r="J1186" s="190">
        <v>0</v>
      </c>
      <c r="K1186">
        <f t="shared" si="125"/>
        <v>945</v>
      </c>
      <c r="L1186" s="62">
        <f t="shared" si="127"/>
        <v>983</v>
      </c>
      <c r="M1186" s="287">
        <v>0.79</v>
      </c>
      <c r="N1186" s="284">
        <f>VLOOKUP(4198,季財報!A:N,8,0)</f>
        <v>4</v>
      </c>
    </row>
    <row r="1187" spans="1:14">
      <c r="A1187" s="184">
        <v>4304</v>
      </c>
      <c r="C1187">
        <v>-21</v>
      </c>
      <c r="H1187" s="197">
        <v>0</v>
      </c>
      <c r="I1187">
        <f t="shared" si="126"/>
        <v>979</v>
      </c>
      <c r="J1187" s="190">
        <v>0</v>
      </c>
      <c r="K1187">
        <f t="shared" si="125"/>
        <v>945</v>
      </c>
      <c r="L1187" s="62">
        <f t="shared" si="127"/>
        <v>983</v>
      </c>
      <c r="M1187" s="287">
        <v>0.79</v>
      </c>
      <c r="N1187" s="284">
        <f>VLOOKUP(4304,季財報!A:N,8,0)</f>
        <v>0</v>
      </c>
    </row>
    <row r="1188" spans="1:14">
      <c r="A1188" s="184">
        <v>4402</v>
      </c>
      <c r="C1188">
        <v>-26</v>
      </c>
      <c r="H1188" s="197">
        <v>0</v>
      </c>
      <c r="I1188">
        <f t="shared" si="126"/>
        <v>979</v>
      </c>
      <c r="J1188" s="190">
        <v>0</v>
      </c>
      <c r="K1188">
        <f t="shared" si="125"/>
        <v>945</v>
      </c>
      <c r="L1188" s="62">
        <f t="shared" si="127"/>
        <v>983</v>
      </c>
      <c r="M1188" s="287">
        <v>0.79</v>
      </c>
      <c r="N1188" s="284">
        <f>VLOOKUP(4402,季財報!A:N,8,0)</f>
        <v>2</v>
      </c>
    </row>
    <row r="1189" spans="1:14">
      <c r="A1189" s="184">
        <v>4406</v>
      </c>
      <c r="C1189">
        <v>-4</v>
      </c>
      <c r="H1189" s="197">
        <v>0</v>
      </c>
      <c r="I1189">
        <f t="shared" si="126"/>
        <v>979</v>
      </c>
      <c r="J1189" s="190">
        <v>0</v>
      </c>
      <c r="K1189">
        <f t="shared" si="125"/>
        <v>945</v>
      </c>
      <c r="L1189" s="62">
        <f t="shared" si="127"/>
        <v>983</v>
      </c>
      <c r="M1189" s="287">
        <v>0.79</v>
      </c>
      <c r="N1189" s="284">
        <f>VLOOKUP(4406,季財報!A:N,8,0)</f>
        <v>1</v>
      </c>
    </row>
    <row r="1190" spans="1:14">
      <c r="A1190" s="184">
        <v>4414</v>
      </c>
      <c r="C1190">
        <v>-41</v>
      </c>
      <c r="H1190" s="197">
        <v>0</v>
      </c>
      <c r="I1190">
        <f t="shared" si="126"/>
        <v>979</v>
      </c>
      <c r="J1190" s="190">
        <v>0</v>
      </c>
      <c r="K1190">
        <f t="shared" si="125"/>
        <v>945</v>
      </c>
      <c r="L1190" s="62">
        <f t="shared" si="127"/>
        <v>983</v>
      </c>
      <c r="M1190" s="287">
        <v>0.79</v>
      </c>
      <c r="N1190" s="284">
        <f>VLOOKUP(4414,季財報!A:N,8,0)</f>
        <v>1</v>
      </c>
    </row>
    <row r="1191" spans="1:14">
      <c r="A1191" s="184">
        <v>4415</v>
      </c>
      <c r="C1191">
        <v>0</v>
      </c>
      <c r="H1191" s="197">
        <v>0</v>
      </c>
      <c r="I1191">
        <f t="shared" si="126"/>
        <v>979</v>
      </c>
      <c r="J1191" s="190">
        <v>0</v>
      </c>
      <c r="K1191">
        <f t="shared" si="125"/>
        <v>945</v>
      </c>
      <c r="L1191" s="62">
        <f t="shared" si="127"/>
        <v>983</v>
      </c>
      <c r="M1191" s="287">
        <v>0.79</v>
      </c>
      <c r="N1191" s="284" t="e">
        <f>VLOOKUP(4415,季財報!A:N,8,0)</f>
        <v>#N/A</v>
      </c>
    </row>
    <row r="1192" spans="1:14">
      <c r="A1192" s="184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197">
        <v>0</v>
      </c>
      <c r="I1192">
        <f t="shared" si="126"/>
        <v>979</v>
      </c>
      <c r="J1192" s="190">
        <v>0</v>
      </c>
      <c r="K1192">
        <f t="shared" si="125"/>
        <v>945</v>
      </c>
      <c r="L1192" s="62">
        <f t="shared" si="127"/>
        <v>983</v>
      </c>
      <c r="M1192" s="287">
        <v>0.79</v>
      </c>
      <c r="N1192" s="284">
        <f>VLOOKUP(4416,季財報!A:N,8,0)</f>
        <v>0</v>
      </c>
    </row>
    <row r="1193" spans="1:14">
      <c r="A1193" s="184">
        <v>4419</v>
      </c>
      <c r="C1193">
        <v>-3</v>
      </c>
      <c r="H1193" s="197">
        <v>0</v>
      </c>
      <c r="I1193">
        <f t="shared" si="126"/>
        <v>979</v>
      </c>
      <c r="J1193" s="190">
        <v>0</v>
      </c>
      <c r="K1193">
        <f t="shared" si="125"/>
        <v>945</v>
      </c>
      <c r="L1193" s="62">
        <f t="shared" si="127"/>
        <v>983</v>
      </c>
      <c r="M1193" s="287">
        <v>1.18</v>
      </c>
      <c r="N1193" s="284">
        <f>VLOOKUP(4419,季財報!A:N,8,0)</f>
        <v>1</v>
      </c>
    </row>
    <row r="1194" spans="1:14">
      <c r="A1194" s="184">
        <v>4433</v>
      </c>
      <c r="C1194">
        <v>-5</v>
      </c>
      <c r="H1194" s="197">
        <v>0</v>
      </c>
      <c r="I1194">
        <f t="shared" si="126"/>
        <v>979</v>
      </c>
      <c r="J1194" s="190">
        <v>0</v>
      </c>
      <c r="K1194">
        <f t="shared" si="125"/>
        <v>945</v>
      </c>
      <c r="L1194" s="62">
        <f t="shared" si="127"/>
        <v>983</v>
      </c>
      <c r="M1194" s="287">
        <v>0.79</v>
      </c>
      <c r="N1194" s="284">
        <f>VLOOKUP(4433,季財報!A:N,8,0)</f>
        <v>2</v>
      </c>
    </row>
    <row r="1195" spans="1:14">
      <c r="A1195" s="184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197">
        <v>0</v>
      </c>
      <c r="I1195">
        <f t="shared" si="126"/>
        <v>979</v>
      </c>
      <c r="J1195" s="190">
        <v>0</v>
      </c>
      <c r="K1195">
        <f t="shared" si="125"/>
        <v>945</v>
      </c>
      <c r="L1195" s="62">
        <f t="shared" si="127"/>
        <v>983</v>
      </c>
      <c r="M1195" s="287">
        <v>0.79</v>
      </c>
      <c r="N1195" s="284">
        <f>VLOOKUP(4502,季財報!A:N,8,0)</f>
        <v>3</v>
      </c>
    </row>
    <row r="1196" spans="1:14">
      <c r="A1196" s="184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197">
        <v>0</v>
      </c>
      <c r="I1196">
        <f t="shared" si="126"/>
        <v>979</v>
      </c>
      <c r="J1196" s="190">
        <v>0</v>
      </c>
      <c r="K1196">
        <f t="shared" si="125"/>
        <v>945</v>
      </c>
      <c r="L1196" s="62">
        <f t="shared" si="127"/>
        <v>983</v>
      </c>
      <c r="M1196" s="287">
        <v>1.01</v>
      </c>
      <c r="N1196" s="284">
        <f>VLOOKUP(4503,季財報!A:N,8,0)</f>
        <v>3</v>
      </c>
    </row>
    <row r="1197" spans="1:14">
      <c r="A1197" s="184">
        <v>4523</v>
      </c>
      <c r="C1197">
        <v>-13</v>
      </c>
      <c r="H1197" s="197">
        <v>0</v>
      </c>
      <c r="I1197">
        <f t="shared" si="126"/>
        <v>979</v>
      </c>
      <c r="J1197" s="190">
        <v>0</v>
      </c>
      <c r="K1197">
        <f t="shared" si="125"/>
        <v>945</v>
      </c>
      <c r="L1197" s="62">
        <f t="shared" si="127"/>
        <v>983</v>
      </c>
      <c r="M1197" s="287">
        <v>1.01</v>
      </c>
      <c r="N1197" s="284">
        <f>VLOOKUP(4523,季財報!A:N,8,0)</f>
        <v>2</v>
      </c>
    </row>
    <row r="1198" spans="1:14">
      <c r="A1198" s="184">
        <v>4529</v>
      </c>
      <c r="C1198">
        <v>-32</v>
      </c>
      <c r="H1198" s="197">
        <v>0</v>
      </c>
      <c r="I1198">
        <f t="shared" si="126"/>
        <v>979</v>
      </c>
      <c r="J1198" s="190">
        <v>0</v>
      </c>
      <c r="K1198">
        <f t="shared" si="125"/>
        <v>945</v>
      </c>
      <c r="L1198" s="62">
        <f t="shared" si="127"/>
        <v>983</v>
      </c>
      <c r="M1198" s="287">
        <v>1.01</v>
      </c>
      <c r="N1198" s="284">
        <f>VLOOKUP(4529,季財報!A:N,8,0)</f>
        <v>4</v>
      </c>
    </row>
    <row r="1199" spans="1:14">
      <c r="A1199" s="184">
        <v>4530</v>
      </c>
      <c r="C1199">
        <v>-15</v>
      </c>
      <c r="H1199" s="197">
        <v>0</v>
      </c>
      <c r="I1199">
        <f t="shared" si="126"/>
        <v>979</v>
      </c>
      <c r="J1199" s="190">
        <v>0</v>
      </c>
      <c r="K1199">
        <f t="shared" si="125"/>
        <v>945</v>
      </c>
      <c r="L1199" s="62">
        <f t="shared" si="127"/>
        <v>983</v>
      </c>
      <c r="M1199" s="287">
        <v>1.9</v>
      </c>
      <c r="N1199" s="284">
        <f>VLOOKUP(4530,季財報!A:N,8,0)</f>
        <v>3</v>
      </c>
    </row>
    <row r="1200" spans="1:14">
      <c r="A1200" s="184">
        <v>4542</v>
      </c>
      <c r="C1200">
        <v>-11</v>
      </c>
      <c r="H1200" s="197">
        <v>0</v>
      </c>
      <c r="I1200">
        <f t="shared" si="126"/>
        <v>979</v>
      </c>
      <c r="J1200" s="190">
        <v>0</v>
      </c>
      <c r="K1200">
        <f t="shared" si="125"/>
        <v>945</v>
      </c>
      <c r="L1200" s="62">
        <f t="shared" si="127"/>
        <v>983</v>
      </c>
      <c r="M1200" s="287">
        <v>0.79</v>
      </c>
      <c r="N1200" s="284">
        <f>VLOOKUP(4542,季財報!A:N,8,0)</f>
        <v>4</v>
      </c>
    </row>
    <row r="1201" spans="1:14">
      <c r="A1201" s="184">
        <v>4702</v>
      </c>
      <c r="C1201">
        <v>-1</v>
      </c>
      <c r="H1201" s="197">
        <v>0</v>
      </c>
      <c r="I1201">
        <f t="shared" si="126"/>
        <v>979</v>
      </c>
      <c r="J1201" s="190">
        <v>0</v>
      </c>
      <c r="K1201">
        <f t="shared" si="125"/>
        <v>945</v>
      </c>
      <c r="L1201" s="62">
        <f t="shared" si="127"/>
        <v>983</v>
      </c>
      <c r="M1201" s="287">
        <v>0.79</v>
      </c>
      <c r="N1201" s="284">
        <f>VLOOKUP(4702,季財報!A:N,8,0)</f>
        <v>1</v>
      </c>
    </row>
    <row r="1202" spans="1:14">
      <c r="A1202" s="184">
        <v>4712</v>
      </c>
      <c r="C1202">
        <v>-11</v>
      </c>
      <c r="H1202" s="197">
        <v>0</v>
      </c>
      <c r="I1202">
        <f t="shared" si="126"/>
        <v>979</v>
      </c>
      <c r="J1202" s="190">
        <v>0</v>
      </c>
      <c r="K1202">
        <f t="shared" si="125"/>
        <v>945</v>
      </c>
      <c r="L1202" s="62">
        <f t="shared" si="127"/>
        <v>983</v>
      </c>
      <c r="M1202" s="287">
        <v>0.79</v>
      </c>
      <c r="N1202" s="284">
        <f>VLOOKUP(4712,季財報!A:N,8,0)</f>
        <v>2</v>
      </c>
    </row>
    <row r="1203" spans="1:14">
      <c r="A1203" s="184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197">
        <v>0</v>
      </c>
      <c r="I1203">
        <f t="shared" si="126"/>
        <v>979</v>
      </c>
      <c r="J1203" s="190">
        <v>0</v>
      </c>
      <c r="K1203">
        <f t="shared" si="125"/>
        <v>945</v>
      </c>
      <c r="L1203" s="62">
        <f t="shared" si="127"/>
        <v>983</v>
      </c>
      <c r="M1203" s="287">
        <v>0.79</v>
      </c>
      <c r="N1203" s="284">
        <f>VLOOKUP(4716,季財報!A:N,8,0)</f>
        <v>2</v>
      </c>
    </row>
    <row r="1204" spans="1:14">
      <c r="A1204" s="184">
        <v>4725</v>
      </c>
      <c r="C1204">
        <v>-305</v>
      </c>
      <c r="H1204" s="197">
        <v>0</v>
      </c>
      <c r="I1204">
        <f t="shared" si="126"/>
        <v>979</v>
      </c>
      <c r="J1204" s="190">
        <v>0</v>
      </c>
      <c r="K1204">
        <f t="shared" si="125"/>
        <v>945</v>
      </c>
      <c r="L1204" s="62">
        <f t="shared" si="127"/>
        <v>983</v>
      </c>
      <c r="M1204" s="287">
        <v>0.79</v>
      </c>
      <c r="N1204" s="284">
        <f>VLOOKUP(4725,季財報!A:N,8,0)</f>
        <v>0</v>
      </c>
    </row>
    <row r="1205" spans="1:14">
      <c r="A1205" s="184">
        <v>4726</v>
      </c>
      <c r="C1205">
        <v>-14</v>
      </c>
      <c r="H1205" s="197">
        <v>0</v>
      </c>
      <c r="I1205">
        <f t="shared" si="126"/>
        <v>979</v>
      </c>
      <c r="J1205" s="190">
        <v>0</v>
      </c>
      <c r="K1205">
        <f t="shared" si="125"/>
        <v>945</v>
      </c>
      <c r="L1205" s="62">
        <f t="shared" si="127"/>
        <v>983</v>
      </c>
      <c r="M1205" s="287">
        <v>1.01</v>
      </c>
      <c r="N1205" s="284">
        <f>VLOOKUP(4726,季財報!A:N,8,0)</f>
        <v>3</v>
      </c>
    </row>
    <row r="1206" spans="1:14">
      <c r="A1206" s="184">
        <v>4728</v>
      </c>
      <c r="C1206">
        <v>-13</v>
      </c>
      <c r="H1206" s="197">
        <v>0</v>
      </c>
      <c r="I1206">
        <f t="shared" si="126"/>
        <v>979</v>
      </c>
      <c r="J1206" s="190">
        <v>0</v>
      </c>
      <c r="K1206">
        <f t="shared" si="125"/>
        <v>945</v>
      </c>
      <c r="L1206" s="62">
        <f t="shared" si="127"/>
        <v>983</v>
      </c>
      <c r="M1206" s="287">
        <v>0.79</v>
      </c>
      <c r="N1206" s="284">
        <f>VLOOKUP(4728,季財報!A:N,8,0)</f>
        <v>4</v>
      </c>
    </row>
    <row r="1207" spans="1:14">
      <c r="A1207" s="184">
        <v>4743</v>
      </c>
      <c r="C1207">
        <v>-21</v>
      </c>
      <c r="H1207" s="197">
        <v>0</v>
      </c>
      <c r="I1207">
        <f t="shared" si="126"/>
        <v>979</v>
      </c>
      <c r="J1207" s="190">
        <v>0</v>
      </c>
      <c r="K1207">
        <f t="shared" si="125"/>
        <v>945</v>
      </c>
      <c r="L1207" s="62">
        <f t="shared" si="127"/>
        <v>983</v>
      </c>
      <c r="M1207" s="287">
        <v>0.79</v>
      </c>
      <c r="N1207" s="284">
        <f>VLOOKUP(4743,季財報!A:N,8,0)</f>
        <v>1</v>
      </c>
    </row>
    <row r="1208" spans="1:14">
      <c r="A1208" s="184">
        <v>4905</v>
      </c>
      <c r="C1208">
        <v>-2</v>
      </c>
      <c r="H1208" s="197">
        <v>0</v>
      </c>
      <c r="I1208">
        <f t="shared" si="126"/>
        <v>979</v>
      </c>
      <c r="J1208" s="190">
        <v>0</v>
      </c>
      <c r="K1208">
        <f t="shared" ref="K1208:K1271" si="128">RANK(0,J:J,0)</f>
        <v>945</v>
      </c>
      <c r="L1208" s="62">
        <f t="shared" si="127"/>
        <v>983</v>
      </c>
      <c r="M1208" s="287">
        <v>0.79</v>
      </c>
      <c r="N1208" s="284">
        <f>VLOOKUP(4905,季財報!A:N,8,0)</f>
        <v>4</v>
      </c>
    </row>
    <row r="1209" spans="1:14">
      <c r="A1209" s="184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197">
        <v>0</v>
      </c>
      <c r="I1209">
        <f t="shared" si="126"/>
        <v>979</v>
      </c>
      <c r="J1209" s="190">
        <v>0</v>
      </c>
      <c r="K1209">
        <f t="shared" si="128"/>
        <v>945</v>
      </c>
      <c r="L1209" s="62">
        <f t="shared" si="127"/>
        <v>983</v>
      </c>
      <c r="M1209" s="287">
        <v>0.79</v>
      </c>
      <c r="N1209" s="284">
        <f>VLOOKUP(4906,季財報!A:N,8,0)</f>
        <v>4</v>
      </c>
    </row>
    <row r="1210" spans="1:14">
      <c r="A1210" s="184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197">
        <v>0</v>
      </c>
      <c r="I1210">
        <f t="shared" si="126"/>
        <v>979</v>
      </c>
      <c r="J1210" s="190">
        <v>0</v>
      </c>
      <c r="K1210">
        <f t="shared" si="128"/>
        <v>945</v>
      </c>
      <c r="L1210" s="62">
        <f t="shared" si="127"/>
        <v>983</v>
      </c>
      <c r="M1210" s="287">
        <v>0.79</v>
      </c>
      <c r="N1210" s="284" t="e">
        <f>VLOOKUP(4907,季財報!A:N,8,0)</f>
        <v>#N/A</v>
      </c>
    </row>
    <row r="1211" spans="1:14">
      <c r="A1211" s="184">
        <v>4911</v>
      </c>
      <c r="C1211">
        <v>-9</v>
      </c>
      <c r="H1211" s="197">
        <v>0</v>
      </c>
      <c r="I1211">
        <f t="shared" si="126"/>
        <v>979</v>
      </c>
      <c r="J1211" s="190">
        <v>0</v>
      </c>
      <c r="K1211">
        <f t="shared" si="128"/>
        <v>945</v>
      </c>
      <c r="L1211" s="62">
        <f t="shared" si="127"/>
        <v>983</v>
      </c>
      <c r="M1211" s="287">
        <v>1.36</v>
      </c>
      <c r="N1211" s="284">
        <f>VLOOKUP(4911,季財報!A:N,8,0)</f>
        <v>1</v>
      </c>
    </row>
    <row r="1212" spans="1:14">
      <c r="A1212" s="184">
        <v>4924</v>
      </c>
      <c r="C1212">
        <v>-12</v>
      </c>
      <c r="H1212" s="197">
        <v>0</v>
      </c>
      <c r="I1212">
        <f t="shared" si="126"/>
        <v>979</v>
      </c>
      <c r="J1212" s="190">
        <v>0</v>
      </c>
      <c r="K1212">
        <f t="shared" si="128"/>
        <v>945</v>
      </c>
      <c r="L1212" s="62">
        <f t="shared" si="127"/>
        <v>983</v>
      </c>
      <c r="M1212" s="287">
        <v>0.79</v>
      </c>
      <c r="N1212" s="284">
        <f>VLOOKUP(4924,季財報!A:N,8,0)</f>
        <v>0</v>
      </c>
    </row>
    <row r="1213" spans="1:14">
      <c r="A1213" s="184">
        <v>4939</v>
      </c>
      <c r="C1213">
        <v>-18</v>
      </c>
      <c r="H1213" s="197">
        <v>0</v>
      </c>
      <c r="I1213">
        <f t="shared" si="126"/>
        <v>979</v>
      </c>
      <c r="J1213" s="190">
        <v>0</v>
      </c>
      <c r="K1213">
        <f t="shared" si="128"/>
        <v>945</v>
      </c>
      <c r="L1213" s="62">
        <f t="shared" si="127"/>
        <v>983</v>
      </c>
      <c r="M1213" s="287">
        <v>0.79</v>
      </c>
      <c r="N1213" s="284">
        <f>VLOOKUP(4939,季財報!A:N,8,0)</f>
        <v>2</v>
      </c>
    </row>
    <row r="1214" spans="1:14">
      <c r="A1214" s="184">
        <v>4942</v>
      </c>
      <c r="C1214">
        <v>-103</v>
      </c>
      <c r="H1214" s="197">
        <v>0</v>
      </c>
      <c r="I1214">
        <f t="shared" si="126"/>
        <v>979</v>
      </c>
      <c r="J1214" s="190">
        <v>0</v>
      </c>
      <c r="K1214">
        <f t="shared" si="128"/>
        <v>945</v>
      </c>
      <c r="L1214" s="62">
        <f t="shared" si="127"/>
        <v>983</v>
      </c>
      <c r="M1214" s="287">
        <v>0.79</v>
      </c>
      <c r="N1214" s="284">
        <f>VLOOKUP(4942,季財報!A:N,8,0)</f>
        <v>1</v>
      </c>
    </row>
    <row r="1215" spans="1:14">
      <c r="A1215" s="184">
        <v>4944</v>
      </c>
      <c r="C1215">
        <v>-189</v>
      </c>
      <c r="H1215" s="197">
        <v>0</v>
      </c>
      <c r="I1215">
        <f t="shared" si="126"/>
        <v>979</v>
      </c>
      <c r="J1215" s="190">
        <v>0</v>
      </c>
      <c r="K1215">
        <f t="shared" si="128"/>
        <v>945</v>
      </c>
      <c r="L1215" s="62">
        <f t="shared" si="127"/>
        <v>983</v>
      </c>
      <c r="M1215" s="287">
        <v>0.79</v>
      </c>
      <c r="N1215" s="284">
        <f>VLOOKUP(4944,季財報!A:N,8,0)</f>
        <v>2</v>
      </c>
    </row>
    <row r="1216" spans="1:14">
      <c r="A1216" s="184">
        <v>4946</v>
      </c>
      <c r="C1216">
        <v>-28</v>
      </c>
      <c r="H1216" s="197">
        <v>0</v>
      </c>
      <c r="I1216">
        <f t="shared" si="126"/>
        <v>979</v>
      </c>
      <c r="J1216" s="190">
        <v>0</v>
      </c>
      <c r="K1216">
        <f t="shared" si="128"/>
        <v>945</v>
      </c>
      <c r="L1216" s="62">
        <f t="shared" si="127"/>
        <v>983</v>
      </c>
      <c r="M1216" s="287">
        <v>0.79</v>
      </c>
      <c r="N1216" s="284">
        <f>VLOOKUP(4946,季財報!A:N,8,0)</f>
        <v>2</v>
      </c>
    </row>
    <row r="1217" spans="1:14">
      <c r="A1217" s="184">
        <v>4950</v>
      </c>
      <c r="C1217">
        <v>-1</v>
      </c>
      <c r="H1217" s="197">
        <v>0</v>
      </c>
      <c r="I1217">
        <f t="shared" si="126"/>
        <v>979</v>
      </c>
      <c r="J1217" s="190">
        <v>0</v>
      </c>
      <c r="K1217">
        <f t="shared" si="128"/>
        <v>945</v>
      </c>
      <c r="L1217" s="62">
        <f t="shared" si="127"/>
        <v>983</v>
      </c>
      <c r="M1217" s="287">
        <v>0.79</v>
      </c>
      <c r="N1217" s="284">
        <f>VLOOKUP(4950,季財報!A:N,8,0)</f>
        <v>5</v>
      </c>
    </row>
    <row r="1218" spans="1:14">
      <c r="A1218" s="184">
        <v>4953</v>
      </c>
      <c r="C1218">
        <v>-2</v>
      </c>
      <c r="H1218" s="197">
        <v>0</v>
      </c>
      <c r="I1218">
        <f t="shared" si="126"/>
        <v>979</v>
      </c>
      <c r="J1218" s="190">
        <v>0</v>
      </c>
      <c r="K1218">
        <f t="shared" si="128"/>
        <v>945</v>
      </c>
      <c r="L1218" s="62">
        <f t="shared" si="127"/>
        <v>983</v>
      </c>
      <c r="M1218" s="287">
        <v>0.79</v>
      </c>
      <c r="N1218" s="284">
        <f>VLOOKUP(4953,季財報!A:N,8,0)</f>
        <v>1</v>
      </c>
    </row>
    <row r="1219" spans="1:14">
      <c r="A1219" s="184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197">
        <v>0</v>
      </c>
      <c r="I1219">
        <f t="shared" si="126"/>
        <v>979</v>
      </c>
      <c r="J1219" s="190">
        <v>0</v>
      </c>
      <c r="K1219">
        <f t="shared" si="128"/>
        <v>945</v>
      </c>
      <c r="L1219" s="62">
        <f t="shared" si="127"/>
        <v>983</v>
      </c>
      <c r="M1219" s="287">
        <v>1.9</v>
      </c>
      <c r="N1219" s="284">
        <f>VLOOKUP(4956,季財報!A:N,8,0)</f>
        <v>2</v>
      </c>
    </row>
    <row r="1220" spans="1:14">
      <c r="A1220" s="184">
        <v>4973</v>
      </c>
      <c r="C1220">
        <v>-17</v>
      </c>
      <c r="H1220" s="197">
        <v>0</v>
      </c>
      <c r="I1220">
        <f t="shared" si="126"/>
        <v>979</v>
      </c>
      <c r="J1220" s="190">
        <v>0</v>
      </c>
      <c r="K1220">
        <f t="shared" si="128"/>
        <v>945</v>
      </c>
      <c r="L1220" s="62">
        <f t="shared" si="127"/>
        <v>983</v>
      </c>
      <c r="M1220" s="287">
        <v>1.01</v>
      </c>
      <c r="N1220" s="284">
        <f>VLOOKUP(4973,季財報!A:N,8,0)</f>
        <v>4</v>
      </c>
    </row>
    <row r="1221" spans="1:14">
      <c r="A1221" s="184">
        <v>4976</v>
      </c>
      <c r="C1221">
        <v>-12</v>
      </c>
      <c r="H1221" s="197">
        <v>0</v>
      </c>
      <c r="I1221">
        <f t="shared" si="126"/>
        <v>979</v>
      </c>
      <c r="J1221" s="190">
        <v>0</v>
      </c>
      <c r="K1221">
        <f t="shared" si="128"/>
        <v>945</v>
      </c>
      <c r="L1221" s="62">
        <f t="shared" si="127"/>
        <v>983</v>
      </c>
      <c r="M1221" s="287">
        <v>0.79</v>
      </c>
      <c r="N1221" s="284">
        <f>VLOOKUP(4976,季財報!A:N,8,0)</f>
        <v>2</v>
      </c>
    </row>
    <row r="1222" spans="1:14">
      <c r="A1222" s="184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197">
        <v>0</v>
      </c>
      <c r="I1222">
        <f t="shared" si="126"/>
        <v>979</v>
      </c>
      <c r="J1222" s="190">
        <v>0</v>
      </c>
      <c r="K1222">
        <f t="shared" si="128"/>
        <v>945</v>
      </c>
      <c r="L1222" s="62">
        <f t="shared" si="127"/>
        <v>983</v>
      </c>
      <c r="M1222" s="287">
        <v>0.87</v>
      </c>
      <c r="N1222" s="284">
        <f>VLOOKUP(6177,季財報!A:N,8,0)</f>
        <v>0</v>
      </c>
    </row>
    <row r="1223" spans="1:14">
      <c r="A1223" s="184">
        <v>1103</v>
      </c>
      <c r="C1223">
        <v>-84</v>
      </c>
      <c r="H1223" s="197">
        <v>0</v>
      </c>
      <c r="I1223">
        <f t="shared" si="126"/>
        <v>979</v>
      </c>
      <c r="J1223" s="190">
        <v>0</v>
      </c>
      <c r="K1223">
        <f t="shared" si="128"/>
        <v>945</v>
      </c>
      <c r="L1223" s="62">
        <f t="shared" si="127"/>
        <v>983</v>
      </c>
      <c r="M1223" s="287">
        <v>0.79</v>
      </c>
      <c r="N1223" s="284">
        <f>VLOOKUP(1103,季財報!A:N,8,0)</f>
        <v>1</v>
      </c>
    </row>
    <row r="1224" spans="1:14">
      <c r="A1224" s="184">
        <v>1109</v>
      </c>
      <c r="C1224">
        <v>-15</v>
      </c>
      <c r="H1224" s="197">
        <v>0</v>
      </c>
      <c r="I1224">
        <f t="shared" si="126"/>
        <v>979</v>
      </c>
      <c r="J1224" s="190">
        <v>0</v>
      </c>
      <c r="K1224">
        <f t="shared" si="128"/>
        <v>945</v>
      </c>
      <c r="L1224" s="62">
        <f t="shared" si="127"/>
        <v>983</v>
      </c>
      <c r="M1224" s="287">
        <v>0.79</v>
      </c>
      <c r="N1224" s="284">
        <f>VLOOKUP(1109,季財報!A:N,8,0)</f>
        <v>2</v>
      </c>
    </row>
    <row r="1225" spans="1:14">
      <c r="A1225" s="184">
        <v>1201</v>
      </c>
      <c r="C1225">
        <v>-43</v>
      </c>
      <c r="H1225" s="197">
        <v>0</v>
      </c>
      <c r="I1225">
        <f t="shared" si="126"/>
        <v>979</v>
      </c>
      <c r="J1225" s="190">
        <v>0</v>
      </c>
      <c r="K1225">
        <f t="shared" si="128"/>
        <v>945</v>
      </c>
      <c r="L1225" s="62">
        <f t="shared" si="127"/>
        <v>983</v>
      </c>
      <c r="M1225" s="287">
        <v>1.9</v>
      </c>
      <c r="N1225" s="284">
        <f>VLOOKUP(1201,季財報!A:N,8,0)</f>
        <v>0</v>
      </c>
    </row>
    <row r="1226" spans="1:14">
      <c r="A1226" s="184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197">
        <v>0</v>
      </c>
      <c r="I1226">
        <f t="shared" si="126"/>
        <v>979</v>
      </c>
      <c r="J1226" s="190">
        <v>0</v>
      </c>
      <c r="K1226">
        <f t="shared" si="128"/>
        <v>945</v>
      </c>
      <c r="L1226" s="62">
        <f t="shared" si="127"/>
        <v>983</v>
      </c>
      <c r="M1226" s="287">
        <v>0.79</v>
      </c>
      <c r="N1226" s="284">
        <f>VLOOKUP(1304,季財報!A:N,8,0)</f>
        <v>1</v>
      </c>
    </row>
    <row r="1227" spans="1:14">
      <c r="A1227" s="184">
        <v>1309</v>
      </c>
      <c r="C1227">
        <v>-153</v>
      </c>
      <c r="H1227" s="197">
        <v>0</v>
      </c>
      <c r="I1227">
        <f t="shared" si="126"/>
        <v>979</v>
      </c>
      <c r="J1227" s="190">
        <v>0</v>
      </c>
      <c r="K1227">
        <f t="shared" si="128"/>
        <v>945</v>
      </c>
      <c r="L1227" s="62">
        <f t="shared" si="127"/>
        <v>983</v>
      </c>
      <c r="M1227" s="287">
        <v>1.58</v>
      </c>
      <c r="N1227" s="284">
        <f>VLOOKUP(1309,季財報!A:N,8,0)</f>
        <v>0</v>
      </c>
    </row>
    <row r="1228" spans="1:14">
      <c r="A1228" s="184">
        <v>1313</v>
      </c>
      <c r="C1228">
        <v>-126</v>
      </c>
      <c r="H1228" s="197">
        <v>0</v>
      </c>
      <c r="I1228">
        <f t="shared" si="126"/>
        <v>979</v>
      </c>
      <c r="J1228" s="190">
        <v>0</v>
      </c>
      <c r="K1228">
        <f t="shared" si="128"/>
        <v>945</v>
      </c>
      <c r="L1228" s="62">
        <f t="shared" si="127"/>
        <v>983</v>
      </c>
      <c r="M1228" s="287">
        <v>7.67</v>
      </c>
      <c r="N1228" s="284">
        <f>VLOOKUP(1313,季財報!A:N,8,0)</f>
        <v>0</v>
      </c>
    </row>
    <row r="1229" spans="1:14">
      <c r="A1229" s="184">
        <v>1314</v>
      </c>
      <c r="C1229">
        <v>-561</v>
      </c>
      <c r="H1229" s="197">
        <v>0</v>
      </c>
      <c r="I1229">
        <f t="shared" si="126"/>
        <v>979</v>
      </c>
      <c r="J1229" s="190">
        <v>0</v>
      </c>
      <c r="K1229">
        <f t="shared" si="128"/>
        <v>945</v>
      </c>
      <c r="L1229" s="62">
        <f t="shared" si="127"/>
        <v>983</v>
      </c>
      <c r="M1229" s="287">
        <v>0.79</v>
      </c>
      <c r="N1229" s="284">
        <f>VLOOKUP(1314,季財報!A:N,8,0)</f>
        <v>2</v>
      </c>
    </row>
    <row r="1230" spans="1:14">
      <c r="A1230" s="184">
        <v>1316</v>
      </c>
      <c r="C1230">
        <v>-19</v>
      </c>
      <c r="H1230" s="197">
        <v>0</v>
      </c>
      <c r="I1230">
        <f t="shared" si="126"/>
        <v>979</v>
      </c>
      <c r="J1230" s="190">
        <v>0</v>
      </c>
      <c r="K1230">
        <f t="shared" si="128"/>
        <v>945</v>
      </c>
      <c r="L1230" s="62">
        <f t="shared" si="127"/>
        <v>983</v>
      </c>
      <c r="M1230" s="287">
        <v>0.79</v>
      </c>
      <c r="N1230" s="284">
        <f>VLOOKUP(1316,季財報!A:N,8,0)</f>
        <v>1</v>
      </c>
    </row>
    <row r="1231" spans="1:14">
      <c r="A1231" s="184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197">
        <v>0</v>
      </c>
      <c r="I1231">
        <f t="shared" si="126"/>
        <v>979</v>
      </c>
      <c r="J1231" s="190">
        <v>0</v>
      </c>
      <c r="K1231">
        <f t="shared" si="128"/>
        <v>945</v>
      </c>
      <c r="L1231" s="62">
        <f t="shared" si="127"/>
        <v>983</v>
      </c>
      <c r="M1231" s="287">
        <v>0.97</v>
      </c>
      <c r="N1231" s="284">
        <f>VLOOKUP(1321,季財報!A:N,8,0)</f>
        <v>4</v>
      </c>
    </row>
    <row r="1232" spans="1:14">
      <c r="A1232" s="184">
        <v>1336</v>
      </c>
      <c r="C1232">
        <v>-49</v>
      </c>
      <c r="H1232" s="197">
        <v>0</v>
      </c>
      <c r="I1232">
        <f t="shared" si="126"/>
        <v>979</v>
      </c>
      <c r="J1232" s="190">
        <v>0</v>
      </c>
      <c r="K1232">
        <f t="shared" si="128"/>
        <v>945</v>
      </c>
      <c r="L1232" s="62">
        <f t="shared" si="127"/>
        <v>983</v>
      </c>
      <c r="M1232" s="287">
        <v>0.79</v>
      </c>
      <c r="N1232" s="284">
        <f>VLOOKUP(1336,季財報!A:N,8,0)</f>
        <v>2</v>
      </c>
    </row>
    <row r="1233" spans="1:14">
      <c r="A1233" s="184">
        <v>1413</v>
      </c>
      <c r="C1233">
        <v>-46</v>
      </c>
      <c r="H1233" s="197">
        <v>0</v>
      </c>
      <c r="I1233">
        <f t="shared" si="126"/>
        <v>979</v>
      </c>
      <c r="J1233" s="190">
        <v>0</v>
      </c>
      <c r="K1233">
        <f t="shared" si="128"/>
        <v>945</v>
      </c>
      <c r="L1233" s="62">
        <f t="shared" si="127"/>
        <v>983</v>
      </c>
      <c r="M1233" s="287">
        <v>0.79</v>
      </c>
      <c r="N1233" s="284">
        <f>VLOOKUP(1413,季財報!A:N,8,0)</f>
        <v>2</v>
      </c>
    </row>
    <row r="1234" spans="1:14">
      <c r="A1234" s="184">
        <v>1414</v>
      </c>
      <c r="C1234">
        <v>-2</v>
      </c>
      <c r="H1234" s="197">
        <v>0</v>
      </c>
      <c r="I1234">
        <f t="shared" si="126"/>
        <v>979</v>
      </c>
      <c r="J1234" s="190">
        <v>0</v>
      </c>
      <c r="K1234">
        <f t="shared" si="128"/>
        <v>945</v>
      </c>
      <c r="L1234" s="62">
        <f t="shared" si="127"/>
        <v>983</v>
      </c>
      <c r="M1234" s="287">
        <v>2.76</v>
      </c>
      <c r="N1234" s="284">
        <f>VLOOKUP(1414,季財報!A:N,8,0)</f>
        <v>2</v>
      </c>
    </row>
    <row r="1235" spans="1:14">
      <c r="A1235" s="184">
        <v>1416</v>
      </c>
      <c r="C1235">
        <v>-54</v>
      </c>
      <c r="H1235" s="197">
        <v>0</v>
      </c>
      <c r="I1235">
        <f t="shared" si="126"/>
        <v>979</v>
      </c>
      <c r="J1235" s="190">
        <v>0</v>
      </c>
      <c r="K1235">
        <f t="shared" si="128"/>
        <v>945</v>
      </c>
      <c r="L1235" s="62">
        <f t="shared" si="127"/>
        <v>983</v>
      </c>
      <c r="M1235" s="287">
        <v>0.79</v>
      </c>
      <c r="N1235" s="284">
        <f>VLOOKUP(1416,季財報!A:N,8,0)</f>
        <v>0</v>
      </c>
    </row>
    <row r="1236" spans="1:14">
      <c r="A1236" s="184">
        <v>1417</v>
      </c>
      <c r="C1236">
        <v>-158</v>
      </c>
      <c r="H1236" s="197">
        <v>0</v>
      </c>
      <c r="I1236">
        <f t="shared" si="126"/>
        <v>979</v>
      </c>
      <c r="J1236" s="190">
        <v>0</v>
      </c>
      <c r="K1236">
        <f t="shared" si="128"/>
        <v>945</v>
      </c>
      <c r="L1236" s="62">
        <f t="shared" si="127"/>
        <v>983</v>
      </c>
      <c r="M1236" s="287">
        <v>0.79</v>
      </c>
      <c r="N1236" s="284">
        <f>VLOOKUP(1417,季財報!A:N,8,0)</f>
        <v>1</v>
      </c>
    </row>
    <row r="1237" spans="1:14">
      <c r="A1237" s="184">
        <v>1418</v>
      </c>
      <c r="C1237">
        <v>-28</v>
      </c>
      <c r="H1237" s="197">
        <v>0</v>
      </c>
      <c r="I1237">
        <f t="shared" si="126"/>
        <v>979</v>
      </c>
      <c r="J1237" s="190">
        <v>0</v>
      </c>
      <c r="K1237">
        <f t="shared" si="128"/>
        <v>945</v>
      </c>
      <c r="L1237" s="62">
        <f t="shared" si="127"/>
        <v>983</v>
      </c>
      <c r="M1237" s="287">
        <v>0.79</v>
      </c>
      <c r="N1237" s="284">
        <f>VLOOKUP(1418,季財報!A:N,8,0)</f>
        <v>1</v>
      </c>
    </row>
    <row r="1238" spans="1:14">
      <c r="A1238" s="184">
        <v>1419</v>
      </c>
      <c r="C1238">
        <v>-18</v>
      </c>
      <c r="H1238" s="197">
        <v>0</v>
      </c>
      <c r="I1238">
        <f t="shared" si="126"/>
        <v>979</v>
      </c>
      <c r="J1238" s="190">
        <v>0</v>
      </c>
      <c r="K1238">
        <f t="shared" si="128"/>
        <v>945</v>
      </c>
      <c r="L1238" s="62">
        <f t="shared" si="127"/>
        <v>983</v>
      </c>
      <c r="M1238" s="287">
        <v>0.79</v>
      </c>
      <c r="N1238" s="284">
        <f>VLOOKUP(1419,季財報!A:N,8,0)</f>
        <v>2</v>
      </c>
    </row>
    <row r="1239" spans="1:14">
      <c r="A1239" s="184">
        <v>1423</v>
      </c>
      <c r="C1239">
        <v>-16</v>
      </c>
      <c r="H1239" s="197">
        <v>0</v>
      </c>
      <c r="I1239">
        <f t="shared" si="126"/>
        <v>979</v>
      </c>
      <c r="J1239" s="190">
        <v>0</v>
      </c>
      <c r="K1239">
        <f t="shared" si="128"/>
        <v>945</v>
      </c>
      <c r="L1239" s="62">
        <f t="shared" si="127"/>
        <v>983</v>
      </c>
      <c r="M1239" s="287">
        <v>0.79</v>
      </c>
      <c r="N1239" s="284">
        <f>VLOOKUP(1423,季財報!A:N,8,0)</f>
        <v>1</v>
      </c>
    </row>
    <row r="1240" spans="1:14">
      <c r="A1240" s="184">
        <v>1432</v>
      </c>
      <c r="C1240">
        <v>-63</v>
      </c>
      <c r="H1240" s="197">
        <v>0</v>
      </c>
      <c r="I1240">
        <f t="shared" ref="I1240:I1303" si="129">RANK(0,H:H,0)</f>
        <v>979</v>
      </c>
      <c r="J1240" s="190">
        <v>0</v>
      </c>
      <c r="K1240">
        <f t="shared" si="128"/>
        <v>945</v>
      </c>
      <c r="L1240" s="62">
        <f t="shared" ref="L1240:L1303" si="130">RANK(0.79,M:M,0)</f>
        <v>983</v>
      </c>
      <c r="M1240" s="287">
        <v>0.79</v>
      </c>
      <c r="N1240" s="284">
        <f>VLOOKUP(1432,季財報!A:N,8,0)</f>
        <v>2</v>
      </c>
    </row>
    <row r="1241" spans="1:14">
      <c r="A1241" s="184">
        <v>1435</v>
      </c>
      <c r="C1241">
        <v>-1</v>
      </c>
      <c r="H1241" s="197">
        <v>0</v>
      </c>
      <c r="I1241">
        <f t="shared" si="129"/>
        <v>979</v>
      </c>
      <c r="J1241" s="190">
        <v>0</v>
      </c>
      <c r="K1241">
        <f t="shared" si="128"/>
        <v>945</v>
      </c>
      <c r="L1241" s="62">
        <f t="shared" si="130"/>
        <v>983</v>
      </c>
      <c r="M1241" s="287">
        <v>2.76</v>
      </c>
      <c r="N1241" s="284">
        <f>VLOOKUP(1435,季財報!A:N,8,0)</f>
        <v>5</v>
      </c>
    </row>
    <row r="1242" spans="1:14">
      <c r="A1242" s="184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197">
        <v>0</v>
      </c>
      <c r="I1242">
        <f t="shared" si="129"/>
        <v>979</v>
      </c>
      <c r="J1242" s="190">
        <v>0</v>
      </c>
      <c r="K1242">
        <f t="shared" si="128"/>
        <v>945</v>
      </c>
      <c r="L1242" s="62">
        <f t="shared" si="130"/>
        <v>983</v>
      </c>
      <c r="M1242" s="287">
        <v>0.79</v>
      </c>
      <c r="N1242" s="284">
        <f>VLOOKUP(1436,季財報!A:N,8,0)</f>
        <v>2</v>
      </c>
    </row>
    <row r="1243" spans="1:14">
      <c r="A1243" s="184">
        <v>1438</v>
      </c>
      <c r="H1243" s="197">
        <v>0</v>
      </c>
      <c r="I1243">
        <f t="shared" si="129"/>
        <v>979</v>
      </c>
      <c r="J1243" s="190">
        <v>0</v>
      </c>
      <c r="K1243">
        <f t="shared" si="128"/>
        <v>945</v>
      </c>
      <c r="L1243" s="62">
        <f t="shared" si="130"/>
        <v>983</v>
      </c>
      <c r="M1243" s="287">
        <v>1.46</v>
      </c>
      <c r="N1243" s="284">
        <f>VLOOKUP(1438,季財報!A:N,8,0)</f>
        <v>4</v>
      </c>
    </row>
    <row r="1244" spans="1:14">
      <c r="A1244" s="184">
        <v>1439</v>
      </c>
      <c r="C1244">
        <v>-4</v>
      </c>
      <c r="H1244" s="197">
        <v>0</v>
      </c>
      <c r="I1244">
        <f t="shared" si="129"/>
        <v>979</v>
      </c>
      <c r="J1244" s="190">
        <v>0</v>
      </c>
      <c r="K1244">
        <f t="shared" si="128"/>
        <v>945</v>
      </c>
      <c r="L1244" s="62">
        <f t="shared" si="130"/>
        <v>983</v>
      </c>
      <c r="M1244" s="287">
        <v>0.79</v>
      </c>
      <c r="N1244" s="284">
        <f>VLOOKUP(1439,季財報!A:N,8,0)</f>
        <v>0</v>
      </c>
    </row>
    <row r="1245" spans="1:14">
      <c r="A1245" s="184">
        <v>1441</v>
      </c>
      <c r="C1245">
        <v>-6</v>
      </c>
      <c r="H1245" s="197">
        <v>0</v>
      </c>
      <c r="I1245">
        <f t="shared" si="129"/>
        <v>979</v>
      </c>
      <c r="J1245" s="190">
        <v>0</v>
      </c>
      <c r="K1245">
        <f t="shared" si="128"/>
        <v>945</v>
      </c>
      <c r="L1245" s="62">
        <f t="shared" si="130"/>
        <v>983</v>
      </c>
      <c r="M1245" s="287">
        <v>0.79</v>
      </c>
      <c r="N1245" s="284">
        <f>VLOOKUP(1441,季財報!A:N,8,0)</f>
        <v>2</v>
      </c>
    </row>
    <row r="1246" spans="1:14">
      <c r="A1246" s="184">
        <v>1443</v>
      </c>
      <c r="C1246">
        <v>-16</v>
      </c>
      <c r="H1246" s="197">
        <v>0</v>
      </c>
      <c r="I1246">
        <f t="shared" si="129"/>
        <v>979</v>
      </c>
      <c r="J1246" s="190">
        <v>0</v>
      </c>
      <c r="K1246">
        <f t="shared" si="128"/>
        <v>945</v>
      </c>
      <c r="L1246" s="62">
        <f t="shared" si="130"/>
        <v>983</v>
      </c>
      <c r="M1246" s="287">
        <v>2.76</v>
      </c>
      <c r="N1246" s="284">
        <f>VLOOKUP(1443,季財報!A:N,8,0)</f>
        <v>1</v>
      </c>
    </row>
    <row r="1247" spans="1:14">
      <c r="A1247" s="184">
        <v>1444</v>
      </c>
      <c r="C1247">
        <v>-9</v>
      </c>
      <c r="H1247" s="197">
        <v>0</v>
      </c>
      <c r="I1247">
        <f t="shared" si="129"/>
        <v>979</v>
      </c>
      <c r="J1247" s="190">
        <v>0</v>
      </c>
      <c r="K1247">
        <f t="shared" si="128"/>
        <v>945</v>
      </c>
      <c r="L1247" s="62">
        <f t="shared" si="130"/>
        <v>983</v>
      </c>
      <c r="M1247" s="287">
        <v>0.79</v>
      </c>
      <c r="N1247" s="284">
        <f>VLOOKUP(1444,季財報!A:N,8,0)</f>
        <v>2</v>
      </c>
    </row>
    <row r="1248" spans="1:14">
      <c r="A1248" s="184">
        <v>1446</v>
      </c>
      <c r="C1248">
        <v>-16</v>
      </c>
      <c r="H1248" s="197">
        <v>0</v>
      </c>
      <c r="I1248">
        <f t="shared" si="129"/>
        <v>979</v>
      </c>
      <c r="J1248" s="190">
        <v>0</v>
      </c>
      <c r="K1248">
        <f t="shared" si="128"/>
        <v>945</v>
      </c>
      <c r="L1248" s="62">
        <f t="shared" si="130"/>
        <v>983</v>
      </c>
      <c r="M1248" s="287">
        <v>0.79</v>
      </c>
      <c r="N1248" s="284">
        <f>VLOOKUP(1446,季財報!A:N,8,0)</f>
        <v>4</v>
      </c>
    </row>
    <row r="1249" spans="1:14">
      <c r="A1249" s="184">
        <v>1447</v>
      </c>
      <c r="C1249">
        <v>-300</v>
      </c>
      <c r="H1249" s="197">
        <v>0</v>
      </c>
      <c r="I1249">
        <f t="shared" si="129"/>
        <v>979</v>
      </c>
      <c r="J1249" s="190">
        <v>0</v>
      </c>
      <c r="K1249">
        <f t="shared" si="128"/>
        <v>945</v>
      </c>
      <c r="L1249" s="62">
        <f t="shared" si="130"/>
        <v>983</v>
      </c>
      <c r="M1249" s="287">
        <v>0.79</v>
      </c>
      <c r="N1249" s="284">
        <f>VLOOKUP(1447,季財報!A:N,8,0)</f>
        <v>1</v>
      </c>
    </row>
    <row r="1250" spans="1:14">
      <c r="A1250" s="184">
        <v>1449</v>
      </c>
      <c r="C1250">
        <v>-32</v>
      </c>
      <c r="H1250" s="197">
        <v>0</v>
      </c>
      <c r="I1250">
        <f t="shared" si="129"/>
        <v>979</v>
      </c>
      <c r="J1250" s="190">
        <v>0</v>
      </c>
      <c r="K1250">
        <f t="shared" si="128"/>
        <v>945</v>
      </c>
      <c r="L1250" s="62">
        <f t="shared" si="130"/>
        <v>983</v>
      </c>
      <c r="M1250" s="287">
        <v>0.79</v>
      </c>
      <c r="N1250" s="284">
        <f>VLOOKUP(1449,季財報!A:N,8,0)</f>
        <v>1</v>
      </c>
    </row>
    <row r="1251" spans="1:14">
      <c r="A1251" s="184">
        <v>1453</v>
      </c>
      <c r="C1251">
        <v>-14</v>
      </c>
      <c r="H1251" s="197">
        <v>0</v>
      </c>
      <c r="I1251">
        <f t="shared" si="129"/>
        <v>979</v>
      </c>
      <c r="J1251" s="190">
        <v>0</v>
      </c>
      <c r="K1251">
        <f t="shared" si="128"/>
        <v>945</v>
      </c>
      <c r="L1251" s="62">
        <f t="shared" si="130"/>
        <v>983</v>
      </c>
      <c r="M1251" s="287">
        <v>0.79</v>
      </c>
      <c r="N1251" s="284">
        <f>VLOOKUP(1453,季財報!A:N,8,0)</f>
        <v>0</v>
      </c>
    </row>
    <row r="1252" spans="1:14">
      <c r="A1252" s="184">
        <v>1455</v>
      </c>
      <c r="C1252">
        <v>-172</v>
      </c>
      <c r="H1252" s="197">
        <v>0</v>
      </c>
      <c r="I1252">
        <f t="shared" si="129"/>
        <v>979</v>
      </c>
      <c r="J1252" s="190">
        <v>0</v>
      </c>
      <c r="K1252">
        <f t="shared" si="128"/>
        <v>945</v>
      </c>
      <c r="L1252" s="62">
        <f t="shared" si="130"/>
        <v>983</v>
      </c>
      <c r="M1252" s="287">
        <v>0.79</v>
      </c>
      <c r="N1252" s="284">
        <f>VLOOKUP(1455,季財報!A:N,8,0)</f>
        <v>0</v>
      </c>
    </row>
    <row r="1253" spans="1:14">
      <c r="A1253" s="184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197">
        <v>0</v>
      </c>
      <c r="I1253">
        <f t="shared" si="129"/>
        <v>979</v>
      </c>
      <c r="J1253" s="190">
        <v>0</v>
      </c>
      <c r="K1253">
        <f t="shared" si="128"/>
        <v>945</v>
      </c>
      <c r="L1253" s="62">
        <f t="shared" si="130"/>
        <v>983</v>
      </c>
      <c r="M1253" s="287">
        <v>0.79</v>
      </c>
      <c r="N1253" s="284">
        <f>VLOOKUP(1457,季財報!A:N,8,0)</f>
        <v>2</v>
      </c>
    </row>
    <row r="1254" spans="1:14">
      <c r="A1254" s="184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197">
        <v>0</v>
      </c>
      <c r="I1254">
        <f t="shared" si="129"/>
        <v>979</v>
      </c>
      <c r="J1254" s="190">
        <v>0</v>
      </c>
      <c r="K1254">
        <f t="shared" si="128"/>
        <v>945</v>
      </c>
      <c r="L1254" s="62">
        <f t="shared" si="130"/>
        <v>983</v>
      </c>
      <c r="M1254" s="287">
        <v>0.79</v>
      </c>
      <c r="N1254" s="284">
        <f>VLOOKUP(1463,季財報!A:N,8,0)</f>
        <v>2</v>
      </c>
    </row>
    <row r="1255" spans="1:14">
      <c r="A1255" s="184">
        <v>1466</v>
      </c>
      <c r="C1255">
        <v>-2</v>
      </c>
      <c r="H1255" s="197">
        <v>0</v>
      </c>
      <c r="I1255">
        <f t="shared" si="129"/>
        <v>979</v>
      </c>
      <c r="J1255" s="190">
        <v>0</v>
      </c>
      <c r="K1255">
        <f t="shared" si="128"/>
        <v>945</v>
      </c>
      <c r="L1255" s="62">
        <f t="shared" si="130"/>
        <v>983</v>
      </c>
      <c r="M1255" s="287">
        <v>0.79</v>
      </c>
      <c r="N1255" s="284">
        <f>VLOOKUP(1466,季財報!A:N,8,0)</f>
        <v>1</v>
      </c>
    </row>
    <row r="1256" spans="1:14">
      <c r="A1256" s="184">
        <v>1468</v>
      </c>
      <c r="C1256">
        <v>-26</v>
      </c>
      <c r="H1256" s="197">
        <v>0</v>
      </c>
      <c r="I1256">
        <f t="shared" si="129"/>
        <v>979</v>
      </c>
      <c r="J1256" s="190">
        <v>0</v>
      </c>
      <c r="K1256">
        <f t="shared" si="128"/>
        <v>945</v>
      </c>
      <c r="L1256" s="62">
        <f t="shared" si="130"/>
        <v>983</v>
      </c>
      <c r="M1256" s="287">
        <v>1.84</v>
      </c>
      <c r="N1256" s="284">
        <f>VLOOKUP(1468,季財報!A:N,8,0)</f>
        <v>1</v>
      </c>
    </row>
    <row r="1257" spans="1:14">
      <c r="A1257" s="184">
        <v>1469</v>
      </c>
      <c r="C1257">
        <v>-5</v>
      </c>
      <c r="H1257" s="197">
        <v>0</v>
      </c>
      <c r="I1257">
        <f t="shared" si="129"/>
        <v>979</v>
      </c>
      <c r="J1257" s="190">
        <v>0</v>
      </c>
      <c r="K1257">
        <f t="shared" si="128"/>
        <v>945</v>
      </c>
      <c r="L1257" s="62">
        <f t="shared" si="130"/>
        <v>983</v>
      </c>
      <c r="M1257" s="287">
        <v>0.79</v>
      </c>
      <c r="N1257" s="284">
        <f>VLOOKUP(1469,季財報!A:N,8,0)</f>
        <v>1</v>
      </c>
    </row>
    <row r="1258" spans="1:14">
      <c r="A1258" s="184">
        <v>1471</v>
      </c>
      <c r="C1258">
        <v>-88</v>
      </c>
      <c r="H1258" s="197">
        <v>0</v>
      </c>
      <c r="I1258">
        <f t="shared" si="129"/>
        <v>979</v>
      </c>
      <c r="J1258" s="190">
        <v>0</v>
      </c>
      <c r="K1258">
        <f t="shared" si="128"/>
        <v>945</v>
      </c>
      <c r="L1258" s="62">
        <f t="shared" si="130"/>
        <v>983</v>
      </c>
      <c r="M1258" s="287">
        <v>0.79</v>
      </c>
      <c r="N1258" s="284">
        <f>VLOOKUP(1471,季財報!A:N,8,0)</f>
        <v>1</v>
      </c>
    </row>
    <row r="1259" spans="1:14">
      <c r="A1259" s="184">
        <v>1472</v>
      </c>
      <c r="C1259">
        <v>-7</v>
      </c>
      <c r="H1259" s="197">
        <v>0</v>
      </c>
      <c r="I1259">
        <f t="shared" si="129"/>
        <v>979</v>
      </c>
      <c r="J1259" s="190">
        <v>0</v>
      </c>
      <c r="K1259">
        <f t="shared" si="128"/>
        <v>945</v>
      </c>
      <c r="L1259" s="62">
        <f t="shared" si="130"/>
        <v>983</v>
      </c>
      <c r="M1259" s="287">
        <v>10.33</v>
      </c>
      <c r="N1259" s="284">
        <f>VLOOKUP(1472,季財報!A:N,8,0)</f>
        <v>0</v>
      </c>
    </row>
    <row r="1260" spans="1:14">
      <c r="A1260" s="184">
        <v>1473</v>
      </c>
      <c r="C1260">
        <v>-71</v>
      </c>
      <c r="H1260" s="197">
        <v>0</v>
      </c>
      <c r="I1260">
        <f t="shared" si="129"/>
        <v>979</v>
      </c>
      <c r="J1260" s="190">
        <v>0</v>
      </c>
      <c r="K1260">
        <f t="shared" si="128"/>
        <v>945</v>
      </c>
      <c r="L1260" s="62">
        <f t="shared" si="130"/>
        <v>983</v>
      </c>
      <c r="M1260" s="287">
        <v>0.79</v>
      </c>
      <c r="N1260" s="284">
        <f>VLOOKUP(1473,季財報!A:N,8,0)</f>
        <v>4</v>
      </c>
    </row>
    <row r="1261" spans="1:14">
      <c r="A1261" s="184">
        <v>1475</v>
      </c>
      <c r="C1261">
        <v>-13</v>
      </c>
      <c r="H1261" s="197">
        <v>0</v>
      </c>
      <c r="I1261">
        <f t="shared" si="129"/>
        <v>979</v>
      </c>
      <c r="J1261" s="190">
        <v>0</v>
      </c>
      <c r="K1261">
        <f t="shared" si="128"/>
        <v>945</v>
      </c>
      <c r="L1261" s="62">
        <f t="shared" si="130"/>
        <v>983</v>
      </c>
      <c r="M1261" s="287">
        <v>4.1500000000000004</v>
      </c>
      <c r="N1261" s="284">
        <f>VLOOKUP(1475,季財報!A:N,8,0)</f>
        <v>1</v>
      </c>
    </row>
    <row r="1262" spans="1:14">
      <c r="A1262" s="184">
        <v>1512</v>
      </c>
      <c r="C1262">
        <v>-32</v>
      </c>
      <c r="H1262" s="197">
        <v>0</v>
      </c>
      <c r="I1262">
        <f t="shared" si="129"/>
        <v>979</v>
      </c>
      <c r="J1262" s="190">
        <v>0</v>
      </c>
      <c r="K1262">
        <f t="shared" si="128"/>
        <v>945</v>
      </c>
      <c r="L1262" s="62">
        <f t="shared" si="130"/>
        <v>983</v>
      </c>
      <c r="M1262" s="287">
        <v>0.79</v>
      </c>
      <c r="N1262" s="284">
        <f>VLOOKUP(1512,季財報!A:N,8,0)</f>
        <v>5</v>
      </c>
    </row>
    <row r="1263" spans="1:14">
      <c r="A1263" s="184">
        <v>1516</v>
      </c>
      <c r="C1263">
        <v>-2</v>
      </c>
      <c r="H1263" s="197">
        <v>0</v>
      </c>
      <c r="I1263">
        <f t="shared" si="129"/>
        <v>979</v>
      </c>
      <c r="J1263" s="190">
        <v>0</v>
      </c>
      <c r="K1263">
        <f t="shared" si="128"/>
        <v>945</v>
      </c>
      <c r="L1263" s="62">
        <f t="shared" si="130"/>
        <v>983</v>
      </c>
      <c r="M1263" s="287">
        <v>1.1399999999999999</v>
      </c>
      <c r="N1263" s="284">
        <f>VLOOKUP(1516,季財報!A:N,8,0)</f>
        <v>2</v>
      </c>
    </row>
    <row r="1264" spans="1:14">
      <c r="A1264" s="184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197">
        <v>0</v>
      </c>
      <c r="I1264">
        <f t="shared" si="129"/>
        <v>979</v>
      </c>
      <c r="J1264" s="190">
        <v>0</v>
      </c>
      <c r="K1264">
        <f t="shared" si="128"/>
        <v>945</v>
      </c>
      <c r="L1264" s="62">
        <f t="shared" si="130"/>
        <v>983</v>
      </c>
      <c r="M1264" s="287">
        <v>0.79</v>
      </c>
      <c r="N1264" s="284">
        <f>VLOOKUP(1517,季財報!A:N,8,0)</f>
        <v>2</v>
      </c>
    </row>
    <row r="1265" spans="1:14">
      <c r="A1265" s="184">
        <v>1528</v>
      </c>
      <c r="C1265">
        <v>-21</v>
      </c>
      <c r="H1265" s="197">
        <v>0</v>
      </c>
      <c r="I1265">
        <f t="shared" si="129"/>
        <v>979</v>
      </c>
      <c r="J1265" s="190">
        <v>0</v>
      </c>
      <c r="K1265">
        <f t="shared" si="128"/>
        <v>945</v>
      </c>
      <c r="L1265" s="62">
        <f t="shared" si="130"/>
        <v>983</v>
      </c>
      <c r="M1265" s="287">
        <v>0.87</v>
      </c>
      <c r="N1265" s="284">
        <f>VLOOKUP(1528,季財報!A:N,8,0)</f>
        <v>1</v>
      </c>
    </row>
    <row r="1266" spans="1:14">
      <c r="A1266" s="184">
        <v>1529</v>
      </c>
      <c r="C1266">
        <v>-5</v>
      </c>
      <c r="H1266" s="197">
        <v>0</v>
      </c>
      <c r="I1266">
        <f t="shared" si="129"/>
        <v>979</v>
      </c>
      <c r="J1266" s="190">
        <v>0</v>
      </c>
      <c r="K1266">
        <f t="shared" si="128"/>
        <v>945</v>
      </c>
      <c r="L1266" s="62">
        <f t="shared" si="130"/>
        <v>983</v>
      </c>
      <c r="M1266" s="287">
        <v>0.79</v>
      </c>
      <c r="N1266" s="284">
        <f>VLOOKUP(1529,季財報!A:N,8,0)</f>
        <v>0</v>
      </c>
    </row>
    <row r="1267" spans="1:14">
      <c r="A1267" s="184">
        <v>1531</v>
      </c>
      <c r="C1267">
        <v>-6</v>
      </c>
      <c r="H1267" s="197">
        <v>0</v>
      </c>
      <c r="I1267">
        <f t="shared" si="129"/>
        <v>979</v>
      </c>
      <c r="J1267" s="190">
        <v>0</v>
      </c>
      <c r="K1267">
        <f t="shared" si="128"/>
        <v>945</v>
      </c>
      <c r="L1267" s="62">
        <f t="shared" si="130"/>
        <v>983</v>
      </c>
      <c r="M1267" s="287">
        <v>1.58</v>
      </c>
      <c r="N1267" s="284">
        <f>VLOOKUP(1531,季財報!A:N,8,0)</f>
        <v>3</v>
      </c>
    </row>
    <row r="1268" spans="1:14">
      <c r="A1268" s="184">
        <v>1538</v>
      </c>
      <c r="C1268">
        <v>-12</v>
      </c>
      <c r="H1268" s="197">
        <v>0</v>
      </c>
      <c r="I1268">
        <f t="shared" si="129"/>
        <v>979</v>
      </c>
      <c r="J1268" s="190">
        <v>0</v>
      </c>
      <c r="K1268">
        <f t="shared" si="128"/>
        <v>945</v>
      </c>
      <c r="L1268" s="62">
        <f t="shared" si="130"/>
        <v>983</v>
      </c>
      <c r="M1268" s="287">
        <v>0.79</v>
      </c>
      <c r="N1268" s="284">
        <f>VLOOKUP(1538,季財報!A:N,8,0)</f>
        <v>2</v>
      </c>
    </row>
    <row r="1269" spans="1:14">
      <c r="A1269" s="184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197">
        <v>0</v>
      </c>
      <c r="I1269">
        <f t="shared" si="129"/>
        <v>979</v>
      </c>
      <c r="J1269" s="190">
        <v>0</v>
      </c>
      <c r="K1269">
        <f t="shared" si="128"/>
        <v>945</v>
      </c>
      <c r="L1269" s="62">
        <f t="shared" si="130"/>
        <v>983</v>
      </c>
      <c r="M1269" s="287">
        <v>0.79</v>
      </c>
      <c r="N1269" s="284">
        <f>VLOOKUP(1540,季財報!A:N,8,0)</f>
        <v>1</v>
      </c>
    </row>
    <row r="1270" spans="1:14">
      <c r="A1270" s="184">
        <v>1569</v>
      </c>
      <c r="C1270">
        <v>-52</v>
      </c>
      <c r="H1270" s="197">
        <v>0</v>
      </c>
      <c r="I1270">
        <f t="shared" si="129"/>
        <v>979</v>
      </c>
      <c r="J1270" s="190">
        <v>0</v>
      </c>
      <c r="K1270">
        <f t="shared" si="128"/>
        <v>945</v>
      </c>
      <c r="L1270" s="62">
        <f t="shared" si="130"/>
        <v>983</v>
      </c>
      <c r="M1270" s="287">
        <v>0.79</v>
      </c>
      <c r="N1270" s="284">
        <f>VLOOKUP(1569,季財報!A:N,8,0)</f>
        <v>1</v>
      </c>
    </row>
    <row r="1271" spans="1:14">
      <c r="A1271" s="184">
        <v>1584</v>
      </c>
      <c r="C1271">
        <v>-13</v>
      </c>
      <c r="H1271" s="197">
        <v>0</v>
      </c>
      <c r="I1271">
        <f t="shared" si="129"/>
        <v>979</v>
      </c>
      <c r="J1271" s="190">
        <v>0</v>
      </c>
      <c r="K1271">
        <f t="shared" si="128"/>
        <v>945</v>
      </c>
      <c r="L1271" s="62">
        <f t="shared" si="130"/>
        <v>983</v>
      </c>
      <c r="M1271" s="287">
        <v>6.28</v>
      </c>
      <c r="N1271" s="284">
        <f>VLOOKUP(1584,季財報!A:N,8,0)</f>
        <v>1</v>
      </c>
    </row>
    <row r="1272" spans="1:14">
      <c r="A1272" s="184">
        <v>1586</v>
      </c>
      <c r="C1272">
        <v>-12</v>
      </c>
      <c r="H1272" s="197">
        <v>0</v>
      </c>
      <c r="I1272">
        <f t="shared" si="129"/>
        <v>979</v>
      </c>
      <c r="J1272" s="190">
        <v>0</v>
      </c>
      <c r="K1272">
        <f t="shared" ref="K1272:K1335" si="131">RANK(0,J:J,0)</f>
        <v>945</v>
      </c>
      <c r="L1272" s="62">
        <f t="shared" si="130"/>
        <v>983</v>
      </c>
      <c r="M1272" s="287">
        <v>0.79</v>
      </c>
      <c r="N1272" s="284">
        <f>VLOOKUP(1586,季財報!A:N,8,0)</f>
        <v>0</v>
      </c>
    </row>
    <row r="1273" spans="1:14">
      <c r="A1273" s="184">
        <v>1608</v>
      </c>
      <c r="C1273">
        <v>-135</v>
      </c>
      <c r="H1273" s="197">
        <v>0</v>
      </c>
      <c r="I1273">
        <f t="shared" si="129"/>
        <v>979</v>
      </c>
      <c r="J1273" s="190">
        <v>0</v>
      </c>
      <c r="K1273">
        <f t="shared" si="131"/>
        <v>945</v>
      </c>
      <c r="L1273" s="62">
        <f t="shared" si="130"/>
        <v>983</v>
      </c>
      <c r="M1273" s="287">
        <v>0.79</v>
      </c>
      <c r="N1273" s="284">
        <f>VLOOKUP(1608,季財報!A:N,8,0)</f>
        <v>1</v>
      </c>
    </row>
    <row r="1274" spans="1:14">
      <c r="A1274" s="184">
        <v>1609</v>
      </c>
      <c r="C1274">
        <v>-23</v>
      </c>
      <c r="H1274" s="197">
        <v>0</v>
      </c>
      <c r="I1274">
        <f t="shared" si="129"/>
        <v>979</v>
      </c>
      <c r="J1274" s="190">
        <v>0</v>
      </c>
      <c r="K1274">
        <f t="shared" si="131"/>
        <v>945</v>
      </c>
      <c r="L1274" s="62">
        <f t="shared" si="130"/>
        <v>983</v>
      </c>
      <c r="M1274" s="287">
        <v>0.79</v>
      </c>
      <c r="N1274" s="284">
        <f>VLOOKUP(1609,季財報!A:N,8,0)</f>
        <v>0</v>
      </c>
    </row>
    <row r="1275" spans="1:14">
      <c r="A1275" s="184">
        <v>1611</v>
      </c>
      <c r="C1275">
        <v>-23</v>
      </c>
      <c r="H1275" s="197">
        <v>0</v>
      </c>
      <c r="I1275">
        <f t="shared" si="129"/>
        <v>979</v>
      </c>
      <c r="J1275" s="190">
        <v>0</v>
      </c>
      <c r="K1275">
        <f t="shared" si="131"/>
        <v>945</v>
      </c>
      <c r="L1275" s="62">
        <f t="shared" si="130"/>
        <v>983</v>
      </c>
      <c r="M1275" s="287">
        <v>0.79</v>
      </c>
      <c r="N1275" s="284">
        <f>VLOOKUP(1611,季財報!A:N,8,0)</f>
        <v>5</v>
      </c>
    </row>
    <row r="1276" spans="1:14">
      <c r="A1276" s="184">
        <v>1612</v>
      </c>
      <c r="C1276">
        <v>-30</v>
      </c>
      <c r="H1276" s="197">
        <v>0</v>
      </c>
      <c r="I1276">
        <f t="shared" si="129"/>
        <v>979</v>
      </c>
      <c r="J1276" s="190">
        <v>0</v>
      </c>
      <c r="K1276">
        <f t="shared" si="131"/>
        <v>945</v>
      </c>
      <c r="L1276" s="62">
        <f t="shared" si="130"/>
        <v>983</v>
      </c>
      <c r="M1276" s="287">
        <v>0.79</v>
      </c>
      <c r="N1276" s="284">
        <f>VLOOKUP(1612,季財報!A:N,8,0)</f>
        <v>1</v>
      </c>
    </row>
    <row r="1277" spans="1:14">
      <c r="A1277" s="184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197">
        <v>0</v>
      </c>
      <c r="I1277">
        <f t="shared" si="129"/>
        <v>979</v>
      </c>
      <c r="J1277" s="190">
        <v>0</v>
      </c>
      <c r="K1277">
        <f t="shared" si="131"/>
        <v>945</v>
      </c>
      <c r="L1277" s="62">
        <f t="shared" si="130"/>
        <v>983</v>
      </c>
      <c r="M1277" s="287">
        <v>0.79</v>
      </c>
      <c r="N1277" s="284">
        <f>VLOOKUP(1616,季財報!A:N,8,0)</f>
        <v>1</v>
      </c>
    </row>
    <row r="1278" spans="1:14">
      <c r="A1278" s="184">
        <v>1626</v>
      </c>
      <c r="C1278">
        <v>-177</v>
      </c>
      <c r="H1278" s="197">
        <v>0</v>
      </c>
      <c r="I1278">
        <f t="shared" si="129"/>
        <v>979</v>
      </c>
      <c r="J1278" s="190">
        <v>0</v>
      </c>
      <c r="K1278">
        <f t="shared" si="131"/>
        <v>945</v>
      </c>
      <c r="L1278" s="62">
        <f t="shared" si="130"/>
        <v>983</v>
      </c>
      <c r="M1278" s="287">
        <v>1.36</v>
      </c>
      <c r="N1278" s="284">
        <f>VLOOKUP(1626,季財報!A:N,8,0)</f>
        <v>0</v>
      </c>
    </row>
    <row r="1279" spans="1:14">
      <c r="A1279" s="184">
        <v>1729</v>
      </c>
      <c r="C1279">
        <v>-15</v>
      </c>
      <c r="H1279" s="197">
        <v>0</v>
      </c>
      <c r="I1279">
        <f t="shared" si="129"/>
        <v>979</v>
      </c>
      <c r="J1279" s="190">
        <v>0</v>
      </c>
      <c r="K1279">
        <f t="shared" si="131"/>
        <v>945</v>
      </c>
      <c r="L1279" s="62">
        <f t="shared" si="130"/>
        <v>983</v>
      </c>
      <c r="M1279" s="287">
        <v>0.79</v>
      </c>
      <c r="N1279" s="284">
        <f>VLOOKUP(1729,季財報!A:N,8,0)</f>
        <v>4</v>
      </c>
    </row>
    <row r="1280" spans="1:14">
      <c r="A1280" s="184">
        <v>1732</v>
      </c>
      <c r="C1280">
        <v>0</v>
      </c>
      <c r="H1280" s="197">
        <v>0</v>
      </c>
      <c r="I1280">
        <f t="shared" si="129"/>
        <v>979</v>
      </c>
      <c r="J1280" s="190">
        <v>0</v>
      </c>
      <c r="K1280">
        <f t="shared" si="131"/>
        <v>945</v>
      </c>
      <c r="L1280" s="62">
        <f t="shared" si="130"/>
        <v>983</v>
      </c>
      <c r="M1280" s="287">
        <v>1.1399999999999999</v>
      </c>
      <c r="N1280" s="284">
        <f>VLOOKUP(1732,季財報!A:N,8,0)</f>
        <v>3</v>
      </c>
    </row>
    <row r="1281" spans="1:14">
      <c r="A1281" s="184">
        <v>1734</v>
      </c>
      <c r="C1281">
        <v>-65</v>
      </c>
      <c r="H1281" s="197">
        <v>0</v>
      </c>
      <c r="I1281">
        <f t="shared" si="129"/>
        <v>979</v>
      </c>
      <c r="J1281" s="190">
        <v>0</v>
      </c>
      <c r="K1281">
        <f t="shared" si="131"/>
        <v>945</v>
      </c>
      <c r="L1281" s="62">
        <f t="shared" si="130"/>
        <v>983</v>
      </c>
      <c r="M1281" s="287">
        <v>0.79</v>
      </c>
      <c r="N1281" s="284">
        <f>VLOOKUP(1734,季財報!A:N,8,0)</f>
        <v>2</v>
      </c>
    </row>
    <row r="1282" spans="1:14">
      <c r="A1282" s="184">
        <v>1742</v>
      </c>
      <c r="C1282">
        <v>-28</v>
      </c>
      <c r="H1282" s="197">
        <v>0</v>
      </c>
      <c r="I1282">
        <f t="shared" si="129"/>
        <v>979</v>
      </c>
      <c r="J1282" s="190">
        <v>0</v>
      </c>
      <c r="K1282">
        <f t="shared" si="131"/>
        <v>945</v>
      </c>
      <c r="L1282" s="62">
        <f t="shared" si="130"/>
        <v>983</v>
      </c>
      <c r="M1282" s="287">
        <v>0.79</v>
      </c>
      <c r="N1282" s="284">
        <f>VLOOKUP(1742,季財報!A:N,8,0)</f>
        <v>0</v>
      </c>
    </row>
    <row r="1283" spans="1:14">
      <c r="A1283" s="184">
        <v>1781</v>
      </c>
      <c r="C1283">
        <v>-16</v>
      </c>
      <c r="H1283" s="197">
        <v>0</v>
      </c>
      <c r="I1283">
        <f t="shared" si="129"/>
        <v>979</v>
      </c>
      <c r="J1283" s="190">
        <v>0</v>
      </c>
      <c r="K1283">
        <f t="shared" si="131"/>
        <v>945</v>
      </c>
      <c r="L1283" s="62">
        <f t="shared" si="130"/>
        <v>983</v>
      </c>
      <c r="M1283" s="287">
        <v>0.79</v>
      </c>
      <c r="N1283" s="284">
        <f>VLOOKUP(1781,季財報!A:N,8,0)</f>
        <v>4</v>
      </c>
    </row>
    <row r="1284" spans="1:14">
      <c r="A1284" s="184">
        <v>1783</v>
      </c>
      <c r="C1284">
        <v>-6</v>
      </c>
      <c r="H1284" s="197">
        <v>0</v>
      </c>
      <c r="I1284">
        <f t="shared" si="129"/>
        <v>979</v>
      </c>
      <c r="J1284" s="190">
        <v>0</v>
      </c>
      <c r="K1284">
        <f t="shared" si="131"/>
        <v>945</v>
      </c>
      <c r="L1284" s="62">
        <f t="shared" si="130"/>
        <v>983</v>
      </c>
      <c r="M1284" s="287">
        <v>1.1399999999999999</v>
      </c>
      <c r="N1284" s="284">
        <f>VLOOKUP(1783,季財報!A:N,8,0)</f>
        <v>2</v>
      </c>
    </row>
    <row r="1285" spans="1:14">
      <c r="A1285" s="184">
        <v>1784</v>
      </c>
      <c r="C1285">
        <v>-11</v>
      </c>
      <c r="H1285" s="197">
        <v>0</v>
      </c>
      <c r="I1285">
        <f t="shared" si="129"/>
        <v>979</v>
      </c>
      <c r="J1285" s="190">
        <v>0</v>
      </c>
      <c r="K1285">
        <f t="shared" si="131"/>
        <v>945</v>
      </c>
      <c r="L1285" s="62">
        <f t="shared" si="130"/>
        <v>983</v>
      </c>
      <c r="M1285" s="287">
        <v>1.36</v>
      </c>
      <c r="N1285" s="284">
        <f>VLOOKUP(1784,季財報!A:N,8,0)</f>
        <v>0</v>
      </c>
    </row>
    <row r="1286" spans="1:14">
      <c r="A1286" s="184">
        <v>1799</v>
      </c>
      <c r="C1286">
        <v>-31</v>
      </c>
      <c r="H1286" s="197">
        <v>0</v>
      </c>
      <c r="I1286">
        <f t="shared" si="129"/>
        <v>979</v>
      </c>
      <c r="J1286" s="190">
        <v>0</v>
      </c>
      <c r="K1286">
        <f t="shared" si="131"/>
        <v>945</v>
      </c>
      <c r="L1286" s="62">
        <f t="shared" si="130"/>
        <v>983</v>
      </c>
      <c r="M1286" s="287">
        <v>0.79</v>
      </c>
      <c r="N1286" s="284">
        <f>VLOOKUP(1799,季財報!A:N,8,0)</f>
        <v>3</v>
      </c>
    </row>
    <row r="1287" spans="1:14">
      <c r="A1287" s="184">
        <v>1802</v>
      </c>
      <c r="C1287">
        <v>-403</v>
      </c>
      <c r="H1287" s="197">
        <v>0</v>
      </c>
      <c r="I1287">
        <f t="shared" si="129"/>
        <v>979</v>
      </c>
      <c r="J1287" s="190">
        <v>0</v>
      </c>
      <c r="K1287">
        <f t="shared" si="131"/>
        <v>945</v>
      </c>
      <c r="L1287" s="62">
        <f t="shared" si="130"/>
        <v>983</v>
      </c>
      <c r="M1287" s="287">
        <v>0.79</v>
      </c>
      <c r="N1287" s="284">
        <f>VLOOKUP(1802,季財報!A:N,8,0)</f>
        <v>3</v>
      </c>
    </row>
    <row r="1288" spans="1:14">
      <c r="A1288" s="184">
        <v>1805</v>
      </c>
      <c r="C1288">
        <v>-24</v>
      </c>
      <c r="H1288" s="197">
        <v>0</v>
      </c>
      <c r="I1288">
        <f t="shared" si="129"/>
        <v>979</v>
      </c>
      <c r="J1288" s="190">
        <v>0</v>
      </c>
      <c r="K1288">
        <f t="shared" si="131"/>
        <v>945</v>
      </c>
      <c r="L1288" s="62">
        <f t="shared" si="130"/>
        <v>983</v>
      </c>
      <c r="M1288" s="287">
        <v>0.79</v>
      </c>
      <c r="N1288" s="284">
        <f>VLOOKUP(1805,季財報!A:N,8,0)</f>
        <v>1</v>
      </c>
    </row>
    <row r="1289" spans="1:14">
      <c r="A1289" s="184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197">
        <v>0</v>
      </c>
      <c r="I1289">
        <f t="shared" si="129"/>
        <v>979</v>
      </c>
      <c r="J1289" s="190">
        <v>0</v>
      </c>
      <c r="K1289">
        <f t="shared" si="131"/>
        <v>945</v>
      </c>
      <c r="L1289" s="62">
        <f t="shared" si="130"/>
        <v>983</v>
      </c>
      <c r="M1289" s="287">
        <v>0.79</v>
      </c>
      <c r="N1289" s="284">
        <f>VLOOKUP(1809,季財報!A:N,8,0)</f>
        <v>1</v>
      </c>
    </row>
    <row r="1290" spans="1:14">
      <c r="A1290" s="184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197">
        <v>0</v>
      </c>
      <c r="I1290">
        <f t="shared" si="129"/>
        <v>979</v>
      </c>
      <c r="J1290" s="190">
        <v>0</v>
      </c>
      <c r="K1290">
        <f t="shared" si="131"/>
        <v>945</v>
      </c>
      <c r="L1290" s="62">
        <f t="shared" si="130"/>
        <v>983</v>
      </c>
      <c r="M1290" s="287">
        <v>0.79</v>
      </c>
      <c r="N1290" s="284">
        <f>VLOOKUP(1902,季財報!A:N,8,0)</f>
        <v>3</v>
      </c>
    </row>
    <row r="1291" spans="1:14">
      <c r="A1291" s="184">
        <v>1903</v>
      </c>
      <c r="C1291">
        <v>-61</v>
      </c>
      <c r="H1291" s="197">
        <v>0</v>
      </c>
      <c r="I1291">
        <f t="shared" si="129"/>
        <v>979</v>
      </c>
      <c r="J1291" s="190">
        <v>0</v>
      </c>
      <c r="K1291">
        <f t="shared" si="131"/>
        <v>945</v>
      </c>
      <c r="L1291" s="62">
        <f t="shared" si="130"/>
        <v>983</v>
      </c>
      <c r="M1291" s="287">
        <v>0.79</v>
      </c>
      <c r="N1291" s="284">
        <f>VLOOKUP(1903,季財報!A:N,8,0)</f>
        <v>2</v>
      </c>
    </row>
    <row r="1292" spans="1:14">
      <c r="A1292" s="184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197">
        <v>0</v>
      </c>
      <c r="I1292">
        <f t="shared" si="129"/>
        <v>979</v>
      </c>
      <c r="J1292" s="190">
        <v>0</v>
      </c>
      <c r="K1292">
        <f t="shared" si="131"/>
        <v>945</v>
      </c>
      <c r="L1292" s="62">
        <f t="shared" si="130"/>
        <v>983</v>
      </c>
      <c r="M1292" s="287">
        <v>0.79</v>
      </c>
      <c r="N1292" s="284">
        <f>VLOOKUP(2002,季財報!A:N,8,0)</f>
        <v>1</v>
      </c>
    </row>
    <row r="1293" spans="1:14">
      <c r="A1293" s="184">
        <v>2007</v>
      </c>
      <c r="C1293">
        <v>-36</v>
      </c>
      <c r="H1293" s="197">
        <v>0</v>
      </c>
      <c r="I1293">
        <f t="shared" si="129"/>
        <v>979</v>
      </c>
      <c r="J1293" s="190">
        <v>0</v>
      </c>
      <c r="K1293">
        <f t="shared" si="131"/>
        <v>945</v>
      </c>
      <c r="L1293" s="62">
        <f t="shared" si="130"/>
        <v>983</v>
      </c>
      <c r="M1293" s="287">
        <v>0.79</v>
      </c>
      <c r="N1293" s="284">
        <f>VLOOKUP(2007,季財報!A:N,8,0)</f>
        <v>1</v>
      </c>
    </row>
    <row r="1294" spans="1:14">
      <c r="A1294" s="184">
        <v>2008</v>
      </c>
      <c r="C1294">
        <v>-37</v>
      </c>
      <c r="H1294" s="197">
        <v>0</v>
      </c>
      <c r="I1294">
        <f t="shared" si="129"/>
        <v>979</v>
      </c>
      <c r="J1294" s="190">
        <v>0</v>
      </c>
      <c r="K1294">
        <f t="shared" si="131"/>
        <v>945</v>
      </c>
      <c r="L1294" s="62">
        <f t="shared" si="130"/>
        <v>983</v>
      </c>
      <c r="M1294" s="287">
        <v>0.79</v>
      </c>
      <c r="N1294" s="284">
        <f>VLOOKUP(2008,季財報!A:N,8,0)</f>
        <v>1</v>
      </c>
    </row>
    <row r="1295" spans="1:14">
      <c r="A1295" s="184">
        <v>2009</v>
      </c>
      <c r="C1295">
        <v>-105</v>
      </c>
      <c r="H1295" s="197">
        <v>0</v>
      </c>
      <c r="I1295">
        <f t="shared" si="129"/>
        <v>979</v>
      </c>
      <c r="J1295" s="190">
        <v>0</v>
      </c>
      <c r="K1295">
        <f t="shared" si="131"/>
        <v>945</v>
      </c>
      <c r="L1295" s="62">
        <f t="shared" si="130"/>
        <v>983</v>
      </c>
      <c r="M1295" s="287">
        <v>0.87</v>
      </c>
      <c r="N1295" s="284">
        <f>VLOOKUP(2009,季財報!A:N,8,0)</f>
        <v>1</v>
      </c>
    </row>
    <row r="1296" spans="1:14">
      <c r="A1296" s="184">
        <v>2014</v>
      </c>
      <c r="C1296">
        <v>-1</v>
      </c>
      <c r="H1296" s="197">
        <v>0</v>
      </c>
      <c r="I1296">
        <f t="shared" si="129"/>
        <v>979</v>
      </c>
      <c r="J1296" s="190">
        <v>0</v>
      </c>
      <c r="K1296">
        <f t="shared" si="131"/>
        <v>945</v>
      </c>
      <c r="L1296" s="62">
        <f t="shared" si="130"/>
        <v>983</v>
      </c>
      <c r="M1296" s="287">
        <v>0.79</v>
      </c>
      <c r="N1296" s="284">
        <f>VLOOKUP(2014,季財報!A:N,8,0)</f>
        <v>4</v>
      </c>
    </row>
    <row r="1297" spans="1:14">
      <c r="A1297" s="184">
        <v>2020</v>
      </c>
      <c r="C1297">
        <v>-91</v>
      </c>
      <c r="H1297" s="197">
        <v>0</v>
      </c>
      <c r="I1297">
        <f t="shared" si="129"/>
        <v>979</v>
      </c>
      <c r="J1297" s="190">
        <v>0</v>
      </c>
      <c r="K1297">
        <f t="shared" si="131"/>
        <v>945</v>
      </c>
      <c r="L1297" s="62">
        <f t="shared" si="130"/>
        <v>983</v>
      </c>
      <c r="M1297" s="287">
        <v>0.79</v>
      </c>
      <c r="N1297" s="284">
        <f>VLOOKUP(2020,季財報!A:N,8,0)</f>
        <v>0</v>
      </c>
    </row>
    <row r="1298" spans="1:14">
      <c r="A1298" s="184">
        <v>2022</v>
      </c>
      <c r="C1298">
        <v>-82</v>
      </c>
      <c r="H1298" s="197">
        <v>0</v>
      </c>
      <c r="I1298">
        <f t="shared" si="129"/>
        <v>979</v>
      </c>
      <c r="J1298" s="190">
        <v>0</v>
      </c>
      <c r="K1298">
        <f t="shared" si="131"/>
        <v>945</v>
      </c>
      <c r="L1298" s="62">
        <f t="shared" si="130"/>
        <v>983</v>
      </c>
      <c r="M1298" s="287">
        <v>0.79</v>
      </c>
      <c r="N1298" s="284">
        <f>VLOOKUP(2022,季財報!A:N,8,0)</f>
        <v>1</v>
      </c>
    </row>
    <row r="1299" spans="1:14">
      <c r="A1299" s="184">
        <v>2025</v>
      </c>
      <c r="C1299">
        <v>-70</v>
      </c>
      <c r="H1299" s="197">
        <v>0</v>
      </c>
      <c r="I1299">
        <f t="shared" si="129"/>
        <v>979</v>
      </c>
      <c r="J1299" s="190">
        <v>0</v>
      </c>
      <c r="K1299">
        <f t="shared" si="131"/>
        <v>945</v>
      </c>
      <c r="L1299" s="62">
        <f t="shared" si="130"/>
        <v>983</v>
      </c>
      <c r="M1299" s="287">
        <v>0.79</v>
      </c>
      <c r="N1299" s="284">
        <f>VLOOKUP(2025,季財報!A:N,8,0)</f>
        <v>1</v>
      </c>
    </row>
    <row r="1300" spans="1:14">
      <c r="A1300" s="184">
        <v>2027</v>
      </c>
      <c r="C1300">
        <v>-233</v>
      </c>
      <c r="H1300" s="197">
        <v>0</v>
      </c>
      <c r="I1300">
        <f t="shared" si="129"/>
        <v>979</v>
      </c>
      <c r="J1300" s="190">
        <v>0</v>
      </c>
      <c r="K1300">
        <f t="shared" si="131"/>
        <v>945</v>
      </c>
      <c r="L1300" s="62">
        <f t="shared" si="130"/>
        <v>983</v>
      </c>
      <c r="M1300" s="287">
        <v>0.79</v>
      </c>
      <c r="N1300" s="284">
        <f>VLOOKUP(2027,季財報!A:N,8,0)</f>
        <v>1</v>
      </c>
    </row>
    <row r="1301" spans="1:14">
      <c r="A1301" s="184">
        <v>2028</v>
      </c>
      <c r="C1301">
        <v>-300</v>
      </c>
      <c r="H1301" s="197">
        <v>0</v>
      </c>
      <c r="I1301">
        <f t="shared" si="129"/>
        <v>979</v>
      </c>
      <c r="J1301" s="190">
        <v>0</v>
      </c>
      <c r="K1301">
        <f t="shared" si="131"/>
        <v>945</v>
      </c>
      <c r="L1301" s="62">
        <f t="shared" si="130"/>
        <v>983</v>
      </c>
      <c r="M1301" s="287">
        <v>0.79</v>
      </c>
      <c r="N1301" s="284">
        <f>VLOOKUP(2028,季財報!A:N,8,0)</f>
        <v>1</v>
      </c>
    </row>
    <row r="1302" spans="1:14">
      <c r="A1302" s="184">
        <v>2030</v>
      </c>
      <c r="C1302">
        <v>-38</v>
      </c>
      <c r="H1302" s="197">
        <v>0</v>
      </c>
      <c r="I1302">
        <f t="shared" si="129"/>
        <v>979</v>
      </c>
      <c r="J1302" s="190">
        <v>0</v>
      </c>
      <c r="K1302">
        <f t="shared" si="131"/>
        <v>945</v>
      </c>
      <c r="L1302" s="62">
        <f t="shared" si="130"/>
        <v>983</v>
      </c>
      <c r="M1302" s="287">
        <v>0.79</v>
      </c>
      <c r="N1302" s="284">
        <f>VLOOKUP(2030,季財報!A:N,8,0)</f>
        <v>2</v>
      </c>
    </row>
    <row r="1303" spans="1:14">
      <c r="A1303" s="184">
        <v>2031</v>
      </c>
      <c r="C1303">
        <v>-92</v>
      </c>
      <c r="H1303" s="197">
        <v>0</v>
      </c>
      <c r="I1303">
        <f t="shared" si="129"/>
        <v>979</v>
      </c>
      <c r="J1303" s="190">
        <v>0</v>
      </c>
      <c r="K1303">
        <f t="shared" si="131"/>
        <v>945</v>
      </c>
      <c r="L1303" s="62">
        <f t="shared" si="130"/>
        <v>983</v>
      </c>
      <c r="M1303" s="287">
        <v>0.79</v>
      </c>
      <c r="N1303" s="284">
        <f>VLOOKUP(2031,季財報!A:N,8,0)</f>
        <v>0</v>
      </c>
    </row>
    <row r="1304" spans="1:14">
      <c r="A1304" s="184">
        <v>2032</v>
      </c>
      <c r="C1304">
        <v>-11</v>
      </c>
      <c r="H1304" s="197">
        <v>0</v>
      </c>
      <c r="I1304">
        <f t="shared" ref="I1304:I1367" si="132">RANK(0,H:H,0)</f>
        <v>979</v>
      </c>
      <c r="J1304" s="190">
        <v>0</v>
      </c>
      <c r="K1304">
        <f t="shared" si="131"/>
        <v>945</v>
      </c>
      <c r="L1304" s="62">
        <f t="shared" ref="L1304:L1367" si="133">RANK(0.79,M:M,0)</f>
        <v>983</v>
      </c>
      <c r="M1304" s="287">
        <v>1.58</v>
      </c>
      <c r="N1304" s="284">
        <f>VLOOKUP(2032,季財報!A:N,8,0)</f>
        <v>3</v>
      </c>
    </row>
    <row r="1305" spans="1:14">
      <c r="A1305" s="184">
        <v>2033</v>
      </c>
      <c r="C1305">
        <v>-2</v>
      </c>
      <c r="H1305" s="197">
        <v>0</v>
      </c>
      <c r="I1305">
        <f t="shared" si="132"/>
        <v>979</v>
      </c>
      <c r="J1305" s="190">
        <v>0</v>
      </c>
      <c r="K1305">
        <f t="shared" si="131"/>
        <v>945</v>
      </c>
      <c r="L1305" s="62">
        <f t="shared" si="133"/>
        <v>983</v>
      </c>
      <c r="M1305" s="287">
        <v>0.79</v>
      </c>
      <c r="N1305" s="284">
        <f>VLOOKUP(2033,季財報!A:N,8,0)</f>
        <v>1</v>
      </c>
    </row>
    <row r="1306" spans="1:14">
      <c r="A1306" s="184">
        <v>2035</v>
      </c>
      <c r="C1306">
        <v>-404</v>
      </c>
      <c r="H1306" s="197">
        <v>0</v>
      </c>
      <c r="I1306">
        <f t="shared" si="132"/>
        <v>979</v>
      </c>
      <c r="J1306" s="190">
        <v>0</v>
      </c>
      <c r="K1306">
        <f t="shared" si="131"/>
        <v>945</v>
      </c>
      <c r="L1306" s="62">
        <f t="shared" si="133"/>
        <v>983</v>
      </c>
      <c r="M1306" s="287">
        <v>0.79</v>
      </c>
      <c r="N1306" s="284">
        <f>VLOOKUP(2035,季財報!A:N,8,0)</f>
        <v>2</v>
      </c>
    </row>
    <row r="1307" spans="1:14">
      <c r="A1307" s="184">
        <v>2038</v>
      </c>
      <c r="C1307">
        <v>-62</v>
      </c>
      <c r="H1307" s="197">
        <v>0</v>
      </c>
      <c r="I1307">
        <f t="shared" si="132"/>
        <v>979</v>
      </c>
      <c r="J1307" s="190">
        <v>0</v>
      </c>
      <c r="K1307">
        <f t="shared" si="131"/>
        <v>945</v>
      </c>
      <c r="L1307" s="62">
        <f t="shared" si="133"/>
        <v>983</v>
      </c>
      <c r="M1307" s="287">
        <v>1.01</v>
      </c>
      <c r="N1307" s="284">
        <f>VLOOKUP(2038,季財報!A:N,8,0)</f>
        <v>2</v>
      </c>
    </row>
    <row r="1308" spans="1:14">
      <c r="A1308" s="184">
        <v>2061</v>
      </c>
      <c r="C1308">
        <v>-19</v>
      </c>
      <c r="H1308" s="197">
        <v>0</v>
      </c>
      <c r="I1308">
        <f t="shared" si="132"/>
        <v>979</v>
      </c>
      <c r="J1308" s="190">
        <v>0</v>
      </c>
      <c r="K1308">
        <f t="shared" si="131"/>
        <v>945</v>
      </c>
      <c r="L1308" s="62">
        <f t="shared" si="133"/>
        <v>983</v>
      </c>
      <c r="M1308" s="287">
        <v>0.79</v>
      </c>
      <c r="N1308" s="284">
        <f>VLOOKUP(2061,季財報!A:N,8,0)</f>
        <v>0</v>
      </c>
    </row>
    <row r="1309" spans="1:14">
      <c r="A1309" s="184">
        <v>2067</v>
      </c>
      <c r="C1309">
        <v>-11</v>
      </c>
      <c r="H1309" s="197">
        <v>0</v>
      </c>
      <c r="I1309">
        <f t="shared" si="132"/>
        <v>979</v>
      </c>
      <c r="J1309" s="190">
        <v>0</v>
      </c>
      <c r="K1309">
        <f t="shared" si="131"/>
        <v>945</v>
      </c>
      <c r="L1309" s="62">
        <f t="shared" si="133"/>
        <v>983</v>
      </c>
      <c r="M1309" s="287">
        <v>0.79</v>
      </c>
      <c r="N1309" s="284">
        <f>VLOOKUP(2067,季財報!A:N,8,0)</f>
        <v>2</v>
      </c>
    </row>
    <row r="1310" spans="1:14">
      <c r="A1310" s="184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197">
        <v>0</v>
      </c>
      <c r="I1310">
        <f t="shared" si="132"/>
        <v>979</v>
      </c>
      <c r="J1310" s="190">
        <v>0</v>
      </c>
      <c r="K1310">
        <f t="shared" si="131"/>
        <v>945</v>
      </c>
      <c r="L1310" s="62">
        <f t="shared" si="133"/>
        <v>983</v>
      </c>
      <c r="M1310" s="287">
        <v>0.79</v>
      </c>
      <c r="N1310" s="284">
        <f>VLOOKUP(2206,季財報!A:N,8,0)</f>
        <v>2</v>
      </c>
    </row>
    <row r="1311" spans="1:14">
      <c r="A1311" s="184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197">
        <v>0</v>
      </c>
      <c r="I1311">
        <f t="shared" si="132"/>
        <v>979</v>
      </c>
      <c r="J1311" s="190">
        <v>0</v>
      </c>
      <c r="K1311">
        <f t="shared" si="131"/>
        <v>945</v>
      </c>
      <c r="L1311" s="62">
        <f t="shared" si="133"/>
        <v>983</v>
      </c>
      <c r="M1311" s="287">
        <v>0.87</v>
      </c>
      <c r="N1311" s="284">
        <f>VLOOKUP(2208,季財報!A:N,8,0)</f>
        <v>4</v>
      </c>
    </row>
    <row r="1312" spans="1:14">
      <c r="A1312" s="184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197">
        <v>0</v>
      </c>
      <c r="I1312">
        <f t="shared" si="132"/>
        <v>979</v>
      </c>
      <c r="J1312" s="190">
        <v>0</v>
      </c>
      <c r="K1312">
        <f t="shared" si="131"/>
        <v>945</v>
      </c>
      <c r="L1312" s="62">
        <f t="shared" si="133"/>
        <v>983</v>
      </c>
      <c r="M1312" s="287">
        <v>0.79</v>
      </c>
      <c r="N1312" s="284">
        <f>VLOOKUP(2230,季財報!A:N,8,0)</f>
        <v>1</v>
      </c>
    </row>
    <row r="1313" spans="1:14">
      <c r="A1313" s="184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197">
        <v>0</v>
      </c>
      <c r="I1313">
        <f t="shared" si="132"/>
        <v>979</v>
      </c>
      <c r="J1313" s="190">
        <v>0</v>
      </c>
      <c r="K1313">
        <f t="shared" si="131"/>
        <v>945</v>
      </c>
      <c r="L1313" s="62">
        <f t="shared" si="133"/>
        <v>983</v>
      </c>
      <c r="M1313" s="287">
        <v>0.79</v>
      </c>
      <c r="N1313" s="284">
        <f>VLOOKUP(2303,季財報!A:N,8,0)</f>
        <v>2</v>
      </c>
    </row>
    <row r="1314" spans="1:14">
      <c r="A1314" s="184">
        <v>2305</v>
      </c>
      <c r="C1314">
        <v>-25</v>
      </c>
      <c r="H1314" s="197">
        <v>0</v>
      </c>
      <c r="I1314">
        <f t="shared" si="132"/>
        <v>979</v>
      </c>
      <c r="J1314" s="190">
        <v>0</v>
      </c>
      <c r="K1314">
        <f t="shared" si="131"/>
        <v>945</v>
      </c>
      <c r="L1314" s="62">
        <f t="shared" si="133"/>
        <v>983</v>
      </c>
      <c r="M1314" s="287">
        <v>0.9</v>
      </c>
      <c r="N1314" s="284">
        <f>VLOOKUP(2305,季財報!A:N,8,0)</f>
        <v>1</v>
      </c>
    </row>
    <row r="1315" spans="1:14">
      <c r="A1315" s="184">
        <v>2314</v>
      </c>
      <c r="C1315">
        <v>-18</v>
      </c>
      <c r="H1315" s="197">
        <v>0</v>
      </c>
      <c r="I1315">
        <f t="shared" si="132"/>
        <v>979</v>
      </c>
      <c r="J1315" s="190">
        <v>0</v>
      </c>
      <c r="K1315">
        <f t="shared" si="131"/>
        <v>945</v>
      </c>
      <c r="L1315" s="62">
        <f t="shared" si="133"/>
        <v>983</v>
      </c>
      <c r="M1315" s="287">
        <v>0.79</v>
      </c>
      <c r="N1315" s="284">
        <f>VLOOKUP(2314,季財報!A:N,8,0)</f>
        <v>4</v>
      </c>
    </row>
    <row r="1316" spans="1:14">
      <c r="A1316" s="184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197">
        <v>0</v>
      </c>
      <c r="I1316">
        <f t="shared" si="132"/>
        <v>979</v>
      </c>
      <c r="J1316" s="190">
        <v>0</v>
      </c>
      <c r="K1316">
        <f t="shared" si="131"/>
        <v>945</v>
      </c>
      <c r="L1316" s="62">
        <f t="shared" si="133"/>
        <v>983</v>
      </c>
      <c r="M1316" s="287">
        <v>2.09</v>
      </c>
      <c r="N1316" s="284">
        <f>VLOOKUP(2316,季財報!A:N,8,0)</f>
        <v>2</v>
      </c>
    </row>
    <row r="1317" spans="1:14">
      <c r="A1317" s="184">
        <v>2321</v>
      </c>
      <c r="C1317">
        <v>-4</v>
      </c>
      <c r="H1317" s="197">
        <v>0</v>
      </c>
      <c r="I1317">
        <f t="shared" si="132"/>
        <v>979</v>
      </c>
      <c r="J1317" s="190">
        <v>0</v>
      </c>
      <c r="K1317">
        <f t="shared" si="131"/>
        <v>945</v>
      </c>
      <c r="L1317" s="62">
        <f t="shared" si="133"/>
        <v>983</v>
      </c>
      <c r="M1317" s="287">
        <v>3.37</v>
      </c>
      <c r="N1317" s="284">
        <f>VLOOKUP(2321,季財報!A:N,8,0)</f>
        <v>2</v>
      </c>
    </row>
    <row r="1318" spans="1:14">
      <c r="A1318" s="184">
        <v>2323</v>
      </c>
      <c r="C1318">
        <v>-557</v>
      </c>
      <c r="H1318" s="197">
        <v>0</v>
      </c>
      <c r="I1318">
        <f t="shared" si="132"/>
        <v>979</v>
      </c>
      <c r="J1318" s="190">
        <v>0</v>
      </c>
      <c r="K1318">
        <f t="shared" si="131"/>
        <v>945</v>
      </c>
      <c r="L1318" s="62">
        <f t="shared" si="133"/>
        <v>983</v>
      </c>
      <c r="M1318" s="287">
        <v>3.83</v>
      </c>
      <c r="N1318" s="284">
        <f>VLOOKUP(2323,季財報!A:N,8,0)</f>
        <v>0</v>
      </c>
    </row>
    <row r="1319" spans="1:14">
      <c r="A1319" s="184">
        <v>2332</v>
      </c>
      <c r="C1319">
        <v>-250</v>
      </c>
      <c r="H1319" s="197">
        <v>0</v>
      </c>
      <c r="I1319">
        <f t="shared" si="132"/>
        <v>979</v>
      </c>
      <c r="J1319" s="190">
        <v>0</v>
      </c>
      <c r="K1319">
        <f t="shared" si="131"/>
        <v>945</v>
      </c>
      <c r="L1319" s="62">
        <f t="shared" si="133"/>
        <v>983</v>
      </c>
      <c r="M1319" s="287">
        <v>0.79</v>
      </c>
      <c r="N1319" s="284">
        <f>VLOOKUP(2332,季財報!A:N,8,0)</f>
        <v>2</v>
      </c>
    </row>
    <row r="1320" spans="1:14">
      <c r="A1320" s="184">
        <v>2337</v>
      </c>
      <c r="C1320">
        <v>-970</v>
      </c>
      <c r="H1320" s="197">
        <v>0</v>
      </c>
      <c r="I1320">
        <f t="shared" si="132"/>
        <v>979</v>
      </c>
      <c r="J1320" s="190">
        <v>0</v>
      </c>
      <c r="K1320">
        <f t="shared" si="131"/>
        <v>945</v>
      </c>
      <c r="L1320" s="62">
        <f t="shared" si="133"/>
        <v>983</v>
      </c>
      <c r="M1320" s="287">
        <v>1.01</v>
      </c>
      <c r="N1320" s="284">
        <f>VLOOKUP(2337,季財報!A:N,8,0)</f>
        <v>3</v>
      </c>
    </row>
    <row r="1321" spans="1:14">
      <c r="A1321" s="184">
        <v>2338</v>
      </c>
      <c r="C1321">
        <v>0</v>
      </c>
      <c r="H1321" s="197">
        <v>0</v>
      </c>
      <c r="I1321">
        <f t="shared" si="132"/>
        <v>979</v>
      </c>
      <c r="J1321" s="190">
        <v>0</v>
      </c>
      <c r="K1321">
        <f t="shared" si="131"/>
        <v>945</v>
      </c>
      <c r="L1321" s="62">
        <f t="shared" si="133"/>
        <v>983</v>
      </c>
      <c r="M1321" s="287">
        <v>1.1399999999999999</v>
      </c>
      <c r="N1321" s="284">
        <f>VLOOKUP(2338,季財報!A:N,8,0)</f>
        <v>3</v>
      </c>
    </row>
    <row r="1322" spans="1:14">
      <c r="A1322" s="184">
        <v>2342</v>
      </c>
      <c r="C1322">
        <v>-104</v>
      </c>
      <c r="H1322" s="197">
        <v>0</v>
      </c>
      <c r="I1322">
        <f t="shared" si="132"/>
        <v>979</v>
      </c>
      <c r="J1322" s="190">
        <v>0</v>
      </c>
      <c r="K1322">
        <f t="shared" si="131"/>
        <v>945</v>
      </c>
      <c r="L1322" s="62">
        <f t="shared" si="133"/>
        <v>983</v>
      </c>
      <c r="M1322" s="287">
        <v>0.79</v>
      </c>
      <c r="N1322" s="284">
        <f>VLOOKUP(2342,季財報!A:N,8,0)</f>
        <v>1</v>
      </c>
    </row>
    <row r="1323" spans="1:14">
      <c r="A1323" s="184">
        <v>2349</v>
      </c>
      <c r="C1323">
        <v>-476</v>
      </c>
      <c r="H1323" s="197">
        <v>0</v>
      </c>
      <c r="I1323">
        <f t="shared" si="132"/>
        <v>979</v>
      </c>
      <c r="J1323" s="190">
        <v>0</v>
      </c>
      <c r="K1323">
        <f t="shared" si="131"/>
        <v>945</v>
      </c>
      <c r="L1323" s="62">
        <f t="shared" si="133"/>
        <v>983</v>
      </c>
      <c r="M1323" s="287">
        <v>0.79</v>
      </c>
      <c r="N1323" s="284">
        <f>VLOOKUP(2349,季財報!A:N,8,0)</f>
        <v>0</v>
      </c>
    </row>
    <row r="1324" spans="1:14">
      <c r="A1324" s="184">
        <v>2353</v>
      </c>
      <c r="C1324">
        <v>-641</v>
      </c>
      <c r="H1324" s="197">
        <v>0</v>
      </c>
      <c r="I1324">
        <f t="shared" si="132"/>
        <v>979</v>
      </c>
      <c r="J1324" s="190">
        <v>0</v>
      </c>
      <c r="K1324">
        <f t="shared" si="131"/>
        <v>945</v>
      </c>
      <c r="L1324" s="62">
        <f t="shared" si="133"/>
        <v>983</v>
      </c>
      <c r="M1324" s="287">
        <v>0.79</v>
      </c>
      <c r="N1324" s="284">
        <f>VLOOKUP(2353,季財報!A:N,8,0)</f>
        <v>1</v>
      </c>
    </row>
    <row r="1325" spans="1:14">
      <c r="A1325" s="184">
        <v>2358</v>
      </c>
      <c r="C1325">
        <v>-62</v>
      </c>
      <c r="H1325" s="197">
        <v>0</v>
      </c>
      <c r="I1325">
        <f t="shared" si="132"/>
        <v>979</v>
      </c>
      <c r="J1325" s="190">
        <v>0</v>
      </c>
      <c r="K1325">
        <f t="shared" si="131"/>
        <v>945</v>
      </c>
      <c r="L1325" s="62">
        <f t="shared" si="133"/>
        <v>983</v>
      </c>
      <c r="M1325" s="287">
        <v>0.79</v>
      </c>
      <c r="N1325" s="284">
        <f>VLOOKUP(2358,季財報!A:N,8,0)</f>
        <v>2</v>
      </c>
    </row>
    <row r="1326" spans="1:14">
      <c r="A1326" s="184">
        <v>2361</v>
      </c>
      <c r="C1326">
        <v>-23</v>
      </c>
      <c r="H1326" s="197">
        <v>0</v>
      </c>
      <c r="I1326">
        <f t="shared" si="132"/>
        <v>979</v>
      </c>
      <c r="J1326" s="190">
        <v>0</v>
      </c>
      <c r="K1326">
        <f t="shared" si="131"/>
        <v>945</v>
      </c>
      <c r="L1326" s="62">
        <f t="shared" si="133"/>
        <v>983</v>
      </c>
      <c r="M1326" s="287">
        <v>1.01</v>
      </c>
      <c r="N1326" s="284">
        <f>VLOOKUP(2361,季財報!A:N,8,0)</f>
        <v>3</v>
      </c>
    </row>
    <row r="1327" spans="1:14">
      <c r="A1327" s="184">
        <v>2363</v>
      </c>
      <c r="C1327">
        <v>-86</v>
      </c>
      <c r="H1327" s="197">
        <v>0</v>
      </c>
      <c r="I1327">
        <f t="shared" si="132"/>
        <v>979</v>
      </c>
      <c r="J1327" s="190">
        <v>0</v>
      </c>
      <c r="K1327">
        <f t="shared" si="131"/>
        <v>945</v>
      </c>
      <c r="L1327" s="62">
        <f t="shared" si="133"/>
        <v>983</v>
      </c>
      <c r="M1327" s="287">
        <v>1.36</v>
      </c>
      <c r="N1327" s="284">
        <f>VLOOKUP(2363,季財報!A:N,8,0)</f>
        <v>2</v>
      </c>
    </row>
    <row r="1328" spans="1:14">
      <c r="A1328" s="184">
        <v>2364</v>
      </c>
      <c r="C1328">
        <v>-58</v>
      </c>
      <c r="H1328" s="197">
        <v>0</v>
      </c>
      <c r="I1328">
        <f t="shared" si="132"/>
        <v>979</v>
      </c>
      <c r="J1328" s="190">
        <v>0</v>
      </c>
      <c r="K1328">
        <f t="shared" si="131"/>
        <v>945</v>
      </c>
      <c r="L1328" s="62">
        <f t="shared" si="133"/>
        <v>983</v>
      </c>
      <c r="M1328" s="287">
        <v>1.58</v>
      </c>
      <c r="N1328" s="284">
        <f>VLOOKUP(2364,季財報!A:N,8,0)</f>
        <v>4</v>
      </c>
    </row>
    <row r="1329" spans="1:14">
      <c r="A1329" s="184">
        <v>2365</v>
      </c>
      <c r="C1329">
        <v>-6</v>
      </c>
      <c r="H1329" s="197">
        <v>0</v>
      </c>
      <c r="I1329">
        <f t="shared" si="132"/>
        <v>979</v>
      </c>
      <c r="J1329" s="190">
        <v>0</v>
      </c>
      <c r="K1329">
        <f t="shared" si="131"/>
        <v>945</v>
      </c>
      <c r="L1329" s="62">
        <f t="shared" si="133"/>
        <v>983</v>
      </c>
      <c r="M1329" s="287">
        <v>0.79</v>
      </c>
      <c r="N1329" s="284">
        <f>VLOOKUP(2365,季財報!A:N,8,0)</f>
        <v>2</v>
      </c>
    </row>
    <row r="1330" spans="1:14">
      <c r="A1330" s="184">
        <v>2369</v>
      </c>
      <c r="C1330">
        <v>-23</v>
      </c>
      <c r="H1330" s="197">
        <v>0</v>
      </c>
      <c r="I1330">
        <f t="shared" si="132"/>
        <v>979</v>
      </c>
      <c r="J1330" s="190">
        <v>0</v>
      </c>
      <c r="K1330">
        <f t="shared" si="131"/>
        <v>945</v>
      </c>
      <c r="L1330" s="62">
        <f t="shared" si="133"/>
        <v>983</v>
      </c>
      <c r="M1330" s="287">
        <v>0.79</v>
      </c>
      <c r="N1330" s="284">
        <f>VLOOKUP(2369,季財報!A:N,8,0)</f>
        <v>2</v>
      </c>
    </row>
    <row r="1331" spans="1:14">
      <c r="A1331" s="184">
        <v>2371</v>
      </c>
      <c r="C1331">
        <v>-1427</v>
      </c>
      <c r="H1331" s="197">
        <v>0</v>
      </c>
      <c r="I1331">
        <f t="shared" si="132"/>
        <v>979</v>
      </c>
      <c r="J1331" s="190">
        <v>0</v>
      </c>
      <c r="K1331">
        <f t="shared" si="131"/>
        <v>945</v>
      </c>
      <c r="L1331" s="62">
        <f t="shared" si="133"/>
        <v>983</v>
      </c>
      <c r="M1331" s="287">
        <v>0.79</v>
      </c>
      <c r="N1331" s="284">
        <f>VLOOKUP(2371,季財報!A:N,8,0)</f>
        <v>2</v>
      </c>
    </row>
    <row r="1332" spans="1:14">
      <c r="A1332" s="184">
        <v>2380</v>
      </c>
      <c r="C1332">
        <v>-48</v>
      </c>
      <c r="H1332" s="197">
        <v>0</v>
      </c>
      <c r="I1332">
        <f t="shared" si="132"/>
        <v>979</v>
      </c>
      <c r="J1332" s="190">
        <v>0</v>
      </c>
      <c r="K1332">
        <f t="shared" si="131"/>
        <v>945</v>
      </c>
      <c r="L1332" s="62">
        <f t="shared" si="133"/>
        <v>983</v>
      </c>
      <c r="M1332" s="287">
        <v>0.79</v>
      </c>
      <c r="N1332" s="284">
        <f>VLOOKUP(2380,季財報!A:N,8,0)</f>
        <v>2</v>
      </c>
    </row>
    <row r="1333" spans="1:14">
      <c r="A1333" s="184">
        <v>2388</v>
      </c>
      <c r="C1333">
        <v>-419</v>
      </c>
      <c r="H1333" s="197">
        <v>0</v>
      </c>
      <c r="I1333">
        <f t="shared" si="132"/>
        <v>979</v>
      </c>
      <c r="J1333" s="190">
        <v>0</v>
      </c>
      <c r="K1333">
        <f t="shared" si="131"/>
        <v>945</v>
      </c>
      <c r="L1333" s="62">
        <f t="shared" si="133"/>
        <v>983</v>
      </c>
      <c r="M1333" s="287">
        <v>1.84</v>
      </c>
      <c r="N1333" s="284">
        <f>VLOOKUP(2388,季財報!A:N,8,0)</f>
        <v>4</v>
      </c>
    </row>
    <row r="1334" spans="1:14">
      <c r="A1334" s="184">
        <v>2390</v>
      </c>
      <c r="C1334">
        <v>-59</v>
      </c>
      <c r="H1334" s="197">
        <v>0</v>
      </c>
      <c r="I1334">
        <f t="shared" si="132"/>
        <v>979</v>
      </c>
      <c r="J1334" s="190">
        <v>0</v>
      </c>
      <c r="K1334">
        <f t="shared" si="131"/>
        <v>945</v>
      </c>
      <c r="L1334" s="62">
        <f t="shared" si="133"/>
        <v>983</v>
      </c>
      <c r="M1334" s="287">
        <v>0.79</v>
      </c>
      <c r="N1334" s="284">
        <f>VLOOKUP(2390,季財報!A:N,8,0)</f>
        <v>3</v>
      </c>
    </row>
    <row r="1335" spans="1:14">
      <c r="A1335" s="184">
        <v>2399</v>
      </c>
      <c r="C1335">
        <v>-48</v>
      </c>
      <c r="H1335" s="197">
        <v>0</v>
      </c>
      <c r="I1335">
        <f t="shared" si="132"/>
        <v>979</v>
      </c>
      <c r="J1335" s="190">
        <v>0</v>
      </c>
      <c r="K1335">
        <f t="shared" si="131"/>
        <v>945</v>
      </c>
      <c r="L1335" s="62">
        <f t="shared" si="133"/>
        <v>983</v>
      </c>
      <c r="M1335" s="287">
        <v>0.79</v>
      </c>
      <c r="N1335" s="284">
        <f>VLOOKUP(2399,季財報!A:N,8,0)</f>
        <v>3</v>
      </c>
    </row>
    <row r="1336" spans="1:14">
      <c r="A1336" s="184">
        <v>2402</v>
      </c>
      <c r="C1336">
        <v>-37</v>
      </c>
      <c r="H1336" s="197">
        <v>0</v>
      </c>
      <c r="I1336">
        <f t="shared" si="132"/>
        <v>979</v>
      </c>
      <c r="J1336" s="190">
        <v>0</v>
      </c>
      <c r="K1336">
        <f t="shared" ref="K1336:K1399" si="134">RANK(0,J:J,0)</f>
        <v>945</v>
      </c>
      <c r="L1336" s="62">
        <f t="shared" si="133"/>
        <v>983</v>
      </c>
      <c r="M1336" s="287">
        <v>0.79</v>
      </c>
      <c r="N1336" s="284">
        <f>VLOOKUP(2402,季財報!A:N,8,0)</f>
        <v>2</v>
      </c>
    </row>
    <row r="1337" spans="1:14">
      <c r="A1337" s="184">
        <v>2405</v>
      </c>
      <c r="C1337">
        <v>-42</v>
      </c>
      <c r="H1337" s="197">
        <v>0</v>
      </c>
      <c r="I1337">
        <f t="shared" si="132"/>
        <v>979</v>
      </c>
      <c r="J1337" s="190">
        <v>0</v>
      </c>
      <c r="K1337">
        <f t="shared" si="134"/>
        <v>945</v>
      </c>
      <c r="L1337" s="62">
        <f t="shared" si="133"/>
        <v>983</v>
      </c>
      <c r="M1337" s="287">
        <v>1.36</v>
      </c>
      <c r="N1337" s="284">
        <f>VLOOKUP(2405,季財報!A:N,8,0)</f>
        <v>4</v>
      </c>
    </row>
    <row r="1338" spans="1:14">
      <c r="A1338" s="184">
        <v>2417</v>
      </c>
      <c r="C1338">
        <v>-67</v>
      </c>
      <c r="H1338" s="197">
        <v>0</v>
      </c>
      <c r="I1338">
        <f t="shared" si="132"/>
        <v>979</v>
      </c>
      <c r="J1338" s="190">
        <v>0</v>
      </c>
      <c r="K1338">
        <f t="shared" si="134"/>
        <v>945</v>
      </c>
      <c r="L1338" s="62">
        <f t="shared" si="133"/>
        <v>983</v>
      </c>
      <c r="M1338" s="287">
        <v>0.79</v>
      </c>
      <c r="N1338" s="284">
        <f>VLOOKUP(2417,季財報!A:N,8,0)</f>
        <v>1</v>
      </c>
    </row>
    <row r="1339" spans="1:14">
      <c r="A1339" s="184">
        <v>2424</v>
      </c>
      <c r="C1339">
        <v>-6</v>
      </c>
      <c r="H1339" s="197">
        <v>0</v>
      </c>
      <c r="I1339">
        <f t="shared" si="132"/>
        <v>979</v>
      </c>
      <c r="J1339" s="190">
        <v>0</v>
      </c>
      <c r="K1339">
        <f t="shared" si="134"/>
        <v>945</v>
      </c>
      <c r="L1339" s="62">
        <f t="shared" si="133"/>
        <v>983</v>
      </c>
      <c r="M1339" s="287">
        <v>0.79</v>
      </c>
      <c r="N1339" s="284">
        <f>VLOOKUP(2424,季財報!A:N,8,0)</f>
        <v>0</v>
      </c>
    </row>
    <row r="1340" spans="1:14">
      <c r="A1340" s="184">
        <v>2429</v>
      </c>
      <c r="C1340">
        <v>-16</v>
      </c>
      <c r="H1340" s="197">
        <v>0</v>
      </c>
      <c r="I1340">
        <f t="shared" si="132"/>
        <v>979</v>
      </c>
      <c r="J1340" s="190">
        <v>0</v>
      </c>
      <c r="K1340">
        <f t="shared" si="134"/>
        <v>945</v>
      </c>
      <c r="L1340" s="62">
        <f t="shared" si="133"/>
        <v>983</v>
      </c>
      <c r="M1340" s="287">
        <v>0.79</v>
      </c>
      <c r="N1340" s="284">
        <f>VLOOKUP(2429,季財報!A:N,8,0)</f>
        <v>3</v>
      </c>
    </row>
    <row r="1341" spans="1:14">
      <c r="A1341" s="184">
        <v>2431</v>
      </c>
      <c r="C1341">
        <v>-35</v>
      </c>
      <c r="H1341" s="197">
        <v>0</v>
      </c>
      <c r="I1341">
        <f t="shared" si="132"/>
        <v>979</v>
      </c>
      <c r="J1341" s="190">
        <v>0</v>
      </c>
      <c r="K1341">
        <f t="shared" si="134"/>
        <v>945</v>
      </c>
      <c r="L1341" s="62">
        <f t="shared" si="133"/>
        <v>983</v>
      </c>
      <c r="M1341" s="287">
        <v>1.29</v>
      </c>
      <c r="N1341" s="284">
        <f>VLOOKUP(2431,季財報!A:N,8,0)</f>
        <v>3</v>
      </c>
    </row>
    <row r="1342" spans="1:14">
      <c r="A1342" s="184">
        <v>2434</v>
      </c>
      <c r="C1342">
        <v>-195</v>
      </c>
      <c r="H1342" s="197">
        <v>0</v>
      </c>
      <c r="I1342">
        <f t="shared" si="132"/>
        <v>979</v>
      </c>
      <c r="J1342" s="190">
        <v>0</v>
      </c>
      <c r="K1342">
        <f t="shared" si="134"/>
        <v>945</v>
      </c>
      <c r="L1342" s="62">
        <f t="shared" si="133"/>
        <v>983</v>
      </c>
      <c r="M1342" s="287">
        <v>0.79</v>
      </c>
      <c r="N1342" s="284">
        <f>VLOOKUP(2434,季財報!A:N,8,0)</f>
        <v>3</v>
      </c>
    </row>
    <row r="1343" spans="1:14">
      <c r="A1343" s="184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197">
        <v>0</v>
      </c>
      <c r="I1343">
        <f t="shared" si="132"/>
        <v>979</v>
      </c>
      <c r="J1343" s="190">
        <v>0</v>
      </c>
      <c r="K1343">
        <f t="shared" si="134"/>
        <v>945</v>
      </c>
      <c r="L1343" s="62">
        <f t="shared" si="133"/>
        <v>983</v>
      </c>
      <c r="M1343" s="287">
        <v>2.29</v>
      </c>
      <c r="N1343" s="284">
        <f>VLOOKUP(2436,季財報!A:N,8,0)</f>
        <v>1</v>
      </c>
    </row>
    <row r="1344" spans="1:14">
      <c r="A1344" s="184">
        <v>2440</v>
      </c>
      <c r="C1344">
        <v>-5</v>
      </c>
      <c r="H1344" s="197">
        <v>0</v>
      </c>
      <c r="I1344">
        <f t="shared" si="132"/>
        <v>979</v>
      </c>
      <c r="J1344" s="190">
        <v>0</v>
      </c>
      <c r="K1344">
        <f t="shared" si="134"/>
        <v>945</v>
      </c>
      <c r="L1344" s="62">
        <f t="shared" si="133"/>
        <v>983</v>
      </c>
      <c r="M1344" s="287">
        <v>0.79</v>
      </c>
      <c r="N1344" s="284">
        <f>VLOOKUP(2440,季財報!A:N,8,0)</f>
        <v>0</v>
      </c>
    </row>
    <row r="1345" spans="1:14">
      <c r="A1345" s="184">
        <v>2443</v>
      </c>
      <c r="C1345">
        <v>-69</v>
      </c>
      <c r="H1345" s="197">
        <v>0</v>
      </c>
      <c r="I1345">
        <f t="shared" si="132"/>
        <v>979</v>
      </c>
      <c r="J1345" s="190">
        <v>0</v>
      </c>
      <c r="K1345">
        <f t="shared" si="134"/>
        <v>945</v>
      </c>
      <c r="L1345" s="62">
        <f t="shared" si="133"/>
        <v>983</v>
      </c>
      <c r="M1345" s="287">
        <v>0.79</v>
      </c>
      <c r="N1345" s="284">
        <f>VLOOKUP(2443,季財報!A:N,8,0)</f>
        <v>2</v>
      </c>
    </row>
    <row r="1346" spans="1:14">
      <c r="A1346" s="184">
        <v>2448</v>
      </c>
      <c r="C1346">
        <v>-351</v>
      </c>
      <c r="H1346" s="197">
        <v>0</v>
      </c>
      <c r="I1346">
        <f t="shared" si="132"/>
        <v>979</v>
      </c>
      <c r="J1346" s="190">
        <v>0</v>
      </c>
      <c r="K1346">
        <f t="shared" si="134"/>
        <v>945</v>
      </c>
      <c r="L1346" s="62">
        <f t="shared" si="133"/>
        <v>983</v>
      </c>
      <c r="M1346" s="287">
        <v>0.79</v>
      </c>
      <c r="N1346" s="284">
        <f>VLOOKUP(2448,季財報!A:N,8,0)</f>
        <v>1</v>
      </c>
    </row>
    <row r="1347" spans="1:14">
      <c r="A1347" s="184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197">
        <v>0</v>
      </c>
      <c r="I1347">
        <f t="shared" si="132"/>
        <v>979</v>
      </c>
      <c r="J1347" s="190">
        <v>0</v>
      </c>
      <c r="K1347">
        <f t="shared" si="134"/>
        <v>945</v>
      </c>
      <c r="L1347" s="62">
        <f t="shared" si="133"/>
        <v>983</v>
      </c>
      <c r="M1347" s="287">
        <v>0.79</v>
      </c>
      <c r="N1347" s="284">
        <f>VLOOKUP(2450,季財報!A:N,8,0)</f>
        <v>3</v>
      </c>
    </row>
    <row r="1348" spans="1:14">
      <c r="A1348" s="184">
        <v>2457</v>
      </c>
      <c r="C1348">
        <v>-141</v>
      </c>
      <c r="H1348" s="197">
        <v>0</v>
      </c>
      <c r="I1348">
        <f t="shared" si="132"/>
        <v>979</v>
      </c>
      <c r="J1348" s="190">
        <v>0</v>
      </c>
      <c r="K1348">
        <f t="shared" si="134"/>
        <v>945</v>
      </c>
      <c r="L1348" s="62">
        <f t="shared" si="133"/>
        <v>983</v>
      </c>
      <c r="M1348" s="287">
        <v>0.87</v>
      </c>
      <c r="N1348" s="284">
        <f>VLOOKUP(2457,季財報!A:N,8,0)</f>
        <v>2</v>
      </c>
    </row>
    <row r="1349" spans="1:14">
      <c r="A1349" s="184">
        <v>2460</v>
      </c>
      <c r="C1349">
        <v>-14</v>
      </c>
      <c r="H1349" s="197">
        <v>0</v>
      </c>
      <c r="I1349">
        <f t="shared" si="132"/>
        <v>979</v>
      </c>
      <c r="J1349" s="190">
        <v>0</v>
      </c>
      <c r="K1349">
        <f t="shared" si="134"/>
        <v>945</v>
      </c>
      <c r="L1349" s="62">
        <f t="shared" si="133"/>
        <v>983</v>
      </c>
      <c r="M1349" s="287">
        <v>1.9</v>
      </c>
      <c r="N1349" s="284">
        <f>VLOOKUP(2460,季財報!A:N,8,0)</f>
        <v>3</v>
      </c>
    </row>
    <row r="1350" spans="1:14">
      <c r="A1350" s="184">
        <v>2465</v>
      </c>
      <c r="C1350">
        <v>-38</v>
      </c>
      <c r="H1350" s="197">
        <v>0</v>
      </c>
      <c r="I1350">
        <f t="shared" si="132"/>
        <v>979</v>
      </c>
      <c r="J1350" s="190">
        <v>0</v>
      </c>
      <c r="K1350">
        <f t="shared" si="134"/>
        <v>945</v>
      </c>
      <c r="L1350" s="62">
        <f t="shared" si="133"/>
        <v>983</v>
      </c>
      <c r="M1350" s="287">
        <v>0.79</v>
      </c>
      <c r="N1350" s="284">
        <f>VLOOKUP(2465,季財報!A:N,8,0)</f>
        <v>2</v>
      </c>
    </row>
    <row r="1351" spans="1:14">
      <c r="A1351" s="184">
        <v>2467</v>
      </c>
      <c r="C1351">
        <v>-8</v>
      </c>
      <c r="H1351" s="197">
        <v>0</v>
      </c>
      <c r="I1351">
        <f t="shared" si="132"/>
        <v>979</v>
      </c>
      <c r="J1351" s="190">
        <v>0</v>
      </c>
      <c r="K1351">
        <f t="shared" si="134"/>
        <v>945</v>
      </c>
      <c r="L1351" s="62">
        <f t="shared" si="133"/>
        <v>983</v>
      </c>
      <c r="M1351" s="287">
        <v>0.79</v>
      </c>
      <c r="N1351" s="284">
        <f>VLOOKUP(2467,季財報!A:N,8,0)</f>
        <v>0</v>
      </c>
    </row>
    <row r="1352" spans="1:14">
      <c r="A1352" s="184">
        <v>2471</v>
      </c>
      <c r="C1352">
        <v>-2</v>
      </c>
      <c r="H1352" s="197">
        <v>0</v>
      </c>
      <c r="I1352">
        <f t="shared" si="132"/>
        <v>979</v>
      </c>
      <c r="J1352" s="190">
        <v>0</v>
      </c>
      <c r="K1352">
        <f t="shared" si="134"/>
        <v>945</v>
      </c>
      <c r="L1352" s="62">
        <f t="shared" si="133"/>
        <v>983</v>
      </c>
      <c r="M1352" s="287">
        <v>0.79</v>
      </c>
      <c r="N1352" s="284">
        <f>VLOOKUP(2471,季財報!A:N,8,0)</f>
        <v>3</v>
      </c>
    </row>
    <row r="1353" spans="1:14">
      <c r="A1353" s="184">
        <v>2475</v>
      </c>
      <c r="C1353">
        <v>-1595</v>
      </c>
      <c r="H1353" s="197">
        <v>0</v>
      </c>
      <c r="I1353">
        <f t="shared" si="132"/>
        <v>979</v>
      </c>
      <c r="J1353" s="190">
        <v>0</v>
      </c>
      <c r="K1353">
        <f t="shared" si="134"/>
        <v>945</v>
      </c>
      <c r="L1353" s="62">
        <f t="shared" si="133"/>
        <v>983</v>
      </c>
      <c r="M1353" s="287">
        <v>0.79</v>
      </c>
      <c r="N1353" s="284">
        <f>VLOOKUP(2475,季財報!A:N,8,0)</f>
        <v>2</v>
      </c>
    </row>
    <row r="1354" spans="1:14">
      <c r="A1354" s="184">
        <v>2486</v>
      </c>
      <c r="C1354">
        <v>-58</v>
      </c>
      <c r="H1354" s="197">
        <v>0</v>
      </c>
      <c r="I1354">
        <f t="shared" si="132"/>
        <v>979</v>
      </c>
      <c r="J1354" s="190">
        <v>0</v>
      </c>
      <c r="K1354">
        <f t="shared" si="134"/>
        <v>945</v>
      </c>
      <c r="L1354" s="62">
        <f t="shared" si="133"/>
        <v>983</v>
      </c>
      <c r="M1354" s="287">
        <v>0.79</v>
      </c>
      <c r="N1354" s="284">
        <f>VLOOKUP(2486,季財報!A:N,8,0)</f>
        <v>2</v>
      </c>
    </row>
    <row r="1355" spans="1:14">
      <c r="A1355" s="184">
        <v>2489</v>
      </c>
      <c r="C1355">
        <v>-98</v>
      </c>
      <c r="H1355" s="197">
        <v>0</v>
      </c>
      <c r="I1355">
        <f t="shared" si="132"/>
        <v>979</v>
      </c>
      <c r="J1355" s="190">
        <v>0</v>
      </c>
      <c r="K1355">
        <f t="shared" si="134"/>
        <v>945</v>
      </c>
      <c r="L1355" s="62">
        <f t="shared" si="133"/>
        <v>983</v>
      </c>
      <c r="M1355" s="287">
        <v>0.79</v>
      </c>
      <c r="N1355" s="284">
        <f>VLOOKUP(2489,季財報!A:N,8,0)</f>
        <v>2</v>
      </c>
    </row>
    <row r="1356" spans="1:14">
      <c r="A1356" s="184">
        <v>2491</v>
      </c>
      <c r="C1356">
        <v>-13</v>
      </c>
      <c r="H1356" s="197">
        <v>0</v>
      </c>
      <c r="I1356">
        <f t="shared" si="132"/>
        <v>979</v>
      </c>
      <c r="J1356" s="190">
        <v>0</v>
      </c>
      <c r="K1356">
        <f t="shared" si="134"/>
        <v>945</v>
      </c>
      <c r="L1356" s="62">
        <f t="shared" si="133"/>
        <v>983</v>
      </c>
      <c r="M1356" s="287">
        <v>0.79</v>
      </c>
      <c r="N1356" s="284">
        <f>VLOOKUP(2491,季財報!A:N,8,0)</f>
        <v>1</v>
      </c>
    </row>
    <row r="1357" spans="1:14">
      <c r="A1357" s="184">
        <v>2496</v>
      </c>
      <c r="C1357">
        <v>-3</v>
      </c>
      <c r="H1357" s="197">
        <v>0</v>
      </c>
      <c r="I1357">
        <f t="shared" si="132"/>
        <v>979</v>
      </c>
      <c r="J1357" s="190">
        <v>0</v>
      </c>
      <c r="K1357">
        <f t="shared" si="134"/>
        <v>945</v>
      </c>
      <c r="L1357" s="62">
        <f t="shared" si="133"/>
        <v>983</v>
      </c>
      <c r="M1357" s="287">
        <v>0.79</v>
      </c>
      <c r="N1357" s="284">
        <f>VLOOKUP(2496,季財報!A:N,8,0)</f>
        <v>2</v>
      </c>
    </row>
    <row r="1358" spans="1:14">
      <c r="A1358" s="184">
        <v>2498</v>
      </c>
      <c r="C1358">
        <v>-4943</v>
      </c>
      <c r="H1358" s="197">
        <v>0</v>
      </c>
      <c r="I1358">
        <f t="shared" si="132"/>
        <v>979</v>
      </c>
      <c r="J1358" s="190">
        <v>0</v>
      </c>
      <c r="K1358">
        <f t="shared" si="134"/>
        <v>945</v>
      </c>
      <c r="L1358" s="62">
        <f t="shared" si="133"/>
        <v>983</v>
      </c>
      <c r="M1358" s="287">
        <v>0.79</v>
      </c>
      <c r="N1358" s="284">
        <f>VLOOKUP(2498,季財報!A:N,8,0)</f>
        <v>1</v>
      </c>
    </row>
    <row r="1359" spans="1:14">
      <c r="A1359" s="184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197">
        <v>0</v>
      </c>
      <c r="I1359">
        <f t="shared" si="132"/>
        <v>979</v>
      </c>
      <c r="J1359" s="190">
        <v>0</v>
      </c>
      <c r="K1359">
        <f t="shared" si="134"/>
        <v>945</v>
      </c>
      <c r="L1359" s="62">
        <f t="shared" si="133"/>
        <v>983</v>
      </c>
      <c r="M1359" s="287">
        <v>0.79</v>
      </c>
      <c r="N1359" s="284">
        <f>VLOOKUP(2499,季財報!A:N,8,0)</f>
        <v>1</v>
      </c>
    </row>
    <row r="1360" spans="1:14">
      <c r="A1360" s="184">
        <v>2501</v>
      </c>
      <c r="C1360">
        <v>-58</v>
      </c>
      <c r="H1360" s="197">
        <v>0</v>
      </c>
      <c r="I1360">
        <f t="shared" si="132"/>
        <v>979</v>
      </c>
      <c r="J1360" s="190">
        <v>0</v>
      </c>
      <c r="K1360">
        <f t="shared" si="134"/>
        <v>945</v>
      </c>
      <c r="L1360" s="62">
        <f t="shared" si="133"/>
        <v>983</v>
      </c>
      <c r="M1360" s="287">
        <v>0.79</v>
      </c>
      <c r="N1360" s="284">
        <f>VLOOKUP(2501,季財報!A:N,8,0)</f>
        <v>0</v>
      </c>
    </row>
    <row r="1361" spans="1:14">
      <c r="A1361" s="184">
        <v>2504</v>
      </c>
      <c r="C1361">
        <v>-584</v>
      </c>
      <c r="H1361" s="197">
        <v>0</v>
      </c>
      <c r="I1361">
        <f t="shared" si="132"/>
        <v>979</v>
      </c>
      <c r="J1361" s="190">
        <v>0</v>
      </c>
      <c r="K1361">
        <f t="shared" si="134"/>
        <v>945</v>
      </c>
      <c r="L1361" s="62">
        <f t="shared" si="133"/>
        <v>983</v>
      </c>
      <c r="M1361" s="287">
        <v>0.79</v>
      </c>
      <c r="N1361" s="284">
        <f>VLOOKUP(2504,季財報!A:N,8,0)</f>
        <v>0</v>
      </c>
    </row>
    <row r="1362" spans="1:14">
      <c r="A1362" s="184">
        <v>2505</v>
      </c>
      <c r="C1362">
        <v>-10</v>
      </c>
      <c r="H1362" s="197">
        <v>0</v>
      </c>
      <c r="I1362">
        <f t="shared" si="132"/>
        <v>979</v>
      </c>
      <c r="J1362" s="190">
        <v>0</v>
      </c>
      <c r="K1362">
        <f t="shared" si="134"/>
        <v>945</v>
      </c>
      <c r="L1362" s="62">
        <f t="shared" si="133"/>
        <v>983</v>
      </c>
      <c r="M1362" s="287">
        <v>0.79</v>
      </c>
      <c r="N1362" s="284">
        <f>VLOOKUP(2505,季財報!A:N,8,0)</f>
        <v>0</v>
      </c>
    </row>
    <row r="1363" spans="1:14">
      <c r="A1363" s="184">
        <v>2515</v>
      </c>
      <c r="C1363">
        <v>-632</v>
      </c>
      <c r="H1363" s="197">
        <v>0</v>
      </c>
      <c r="I1363">
        <f t="shared" si="132"/>
        <v>979</v>
      </c>
      <c r="J1363" s="190">
        <v>0</v>
      </c>
      <c r="K1363">
        <f t="shared" si="134"/>
        <v>945</v>
      </c>
      <c r="L1363" s="62">
        <f t="shared" si="133"/>
        <v>983</v>
      </c>
      <c r="M1363" s="287">
        <v>5.24</v>
      </c>
      <c r="N1363" s="284">
        <f>VLOOKUP(2515,季財報!A:N,8,0)</f>
        <v>0</v>
      </c>
    </row>
    <row r="1364" spans="1:14">
      <c r="A1364" s="184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197">
        <v>0</v>
      </c>
      <c r="I1364">
        <f t="shared" si="132"/>
        <v>979</v>
      </c>
      <c r="J1364" s="190">
        <v>0</v>
      </c>
      <c r="K1364">
        <f t="shared" si="134"/>
        <v>945</v>
      </c>
      <c r="L1364" s="62">
        <f t="shared" si="133"/>
        <v>983</v>
      </c>
      <c r="M1364" s="287">
        <v>1.58</v>
      </c>
      <c r="N1364" s="284">
        <f>VLOOKUP(2524,季財報!A:N,8,0)</f>
        <v>2</v>
      </c>
    </row>
    <row r="1365" spans="1:14">
      <c r="A1365" s="184">
        <v>2527</v>
      </c>
      <c r="C1365">
        <v>-23</v>
      </c>
      <c r="H1365" s="197">
        <v>0</v>
      </c>
      <c r="I1365">
        <f t="shared" si="132"/>
        <v>979</v>
      </c>
      <c r="J1365" s="190">
        <v>0</v>
      </c>
      <c r="K1365">
        <f t="shared" si="134"/>
        <v>945</v>
      </c>
      <c r="L1365" s="62">
        <f t="shared" si="133"/>
        <v>983</v>
      </c>
      <c r="M1365" s="287">
        <v>0.79</v>
      </c>
      <c r="N1365" s="284">
        <f>VLOOKUP(2527,季財報!A:N,8,0)</f>
        <v>1</v>
      </c>
    </row>
    <row r="1366" spans="1:14">
      <c r="A1366" s="184">
        <v>2528</v>
      </c>
      <c r="C1366">
        <v>-7</v>
      </c>
      <c r="H1366" s="197">
        <v>0</v>
      </c>
      <c r="I1366">
        <f t="shared" si="132"/>
        <v>979</v>
      </c>
      <c r="J1366" s="190">
        <v>0</v>
      </c>
      <c r="K1366">
        <f t="shared" si="134"/>
        <v>945</v>
      </c>
      <c r="L1366" s="62">
        <f t="shared" si="133"/>
        <v>983</v>
      </c>
      <c r="M1366" s="287">
        <v>0.79</v>
      </c>
      <c r="N1366" s="284">
        <f>VLOOKUP(2528,季財報!A:N,8,0)</f>
        <v>0</v>
      </c>
    </row>
    <row r="1367" spans="1:14">
      <c r="A1367" s="184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197">
        <v>0</v>
      </c>
      <c r="I1367">
        <f t="shared" si="132"/>
        <v>979</v>
      </c>
      <c r="J1367" s="190">
        <v>0</v>
      </c>
      <c r="K1367">
        <f t="shared" si="134"/>
        <v>945</v>
      </c>
      <c r="L1367" s="62">
        <f t="shared" si="133"/>
        <v>983</v>
      </c>
      <c r="M1367" s="287">
        <v>0.79</v>
      </c>
      <c r="N1367" s="284">
        <f>VLOOKUP(2534,季財報!A:N,8,0)</f>
        <v>1</v>
      </c>
    </row>
    <row r="1368" spans="1:14">
      <c r="A1368" s="184">
        <v>2537</v>
      </c>
      <c r="C1368">
        <v>-5</v>
      </c>
      <c r="H1368" s="197">
        <v>0</v>
      </c>
      <c r="I1368">
        <f t="shared" ref="I1368:I1431" si="135">RANK(0,H:H,0)</f>
        <v>979</v>
      </c>
      <c r="J1368" s="190">
        <v>0</v>
      </c>
      <c r="K1368">
        <f t="shared" si="134"/>
        <v>945</v>
      </c>
      <c r="L1368" s="62">
        <f t="shared" ref="L1368:L1431" si="136">RANK(0.79,M:M,0)</f>
        <v>983</v>
      </c>
      <c r="M1368" s="287">
        <v>0.79</v>
      </c>
      <c r="N1368" s="284">
        <f>VLOOKUP(2537,季財報!A:N,8,0)</f>
        <v>3</v>
      </c>
    </row>
    <row r="1369" spans="1:14">
      <c r="A1369" s="184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197">
        <v>0</v>
      </c>
      <c r="I1369">
        <f t="shared" si="135"/>
        <v>979</v>
      </c>
      <c r="J1369" s="190">
        <v>0</v>
      </c>
      <c r="K1369">
        <f t="shared" si="134"/>
        <v>945</v>
      </c>
      <c r="L1369" s="62">
        <f t="shared" si="136"/>
        <v>983</v>
      </c>
      <c r="M1369" s="287">
        <v>12.66</v>
      </c>
      <c r="N1369" s="284">
        <f>VLOOKUP(2538,季財報!A:N,8,0)</f>
        <v>2</v>
      </c>
    </row>
    <row r="1370" spans="1:14">
      <c r="A1370" s="184">
        <v>2539</v>
      </c>
      <c r="C1370">
        <v>-7</v>
      </c>
      <c r="H1370" s="197">
        <v>0</v>
      </c>
      <c r="I1370">
        <f t="shared" si="135"/>
        <v>979</v>
      </c>
      <c r="J1370" s="190">
        <v>0</v>
      </c>
      <c r="K1370">
        <f t="shared" si="134"/>
        <v>945</v>
      </c>
      <c r="L1370" s="62">
        <f t="shared" si="136"/>
        <v>983</v>
      </c>
      <c r="M1370" s="287">
        <v>0.79</v>
      </c>
      <c r="N1370" s="284">
        <f>VLOOKUP(2539,季財報!A:N,8,0)</f>
        <v>0</v>
      </c>
    </row>
    <row r="1371" spans="1:14">
      <c r="A1371" s="184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197">
        <v>0</v>
      </c>
      <c r="I1371">
        <f t="shared" si="135"/>
        <v>979</v>
      </c>
      <c r="J1371" s="190">
        <v>0</v>
      </c>
      <c r="K1371">
        <f t="shared" si="134"/>
        <v>945</v>
      </c>
      <c r="L1371" s="62">
        <f t="shared" si="136"/>
        <v>983</v>
      </c>
      <c r="M1371" s="287">
        <v>0.79</v>
      </c>
      <c r="N1371" s="284">
        <f>VLOOKUP(2545,季財報!A:N,8,0)</f>
        <v>0</v>
      </c>
    </row>
    <row r="1372" spans="1:14">
      <c r="A1372" s="184">
        <v>2547</v>
      </c>
      <c r="C1372">
        <v>-478</v>
      </c>
      <c r="H1372" s="197">
        <v>0</v>
      </c>
      <c r="I1372">
        <f t="shared" si="135"/>
        <v>979</v>
      </c>
      <c r="J1372" s="190">
        <v>0</v>
      </c>
      <c r="K1372">
        <f t="shared" si="134"/>
        <v>945</v>
      </c>
      <c r="L1372" s="62">
        <f t="shared" si="136"/>
        <v>983</v>
      </c>
      <c r="M1372" s="287">
        <v>1.01</v>
      </c>
      <c r="N1372" s="284">
        <f>VLOOKUP(2547,季財報!A:N,8,0)</f>
        <v>0</v>
      </c>
    </row>
    <row r="1373" spans="1:14">
      <c r="A1373" s="184">
        <v>2603</v>
      </c>
      <c r="C1373">
        <v>-2409</v>
      </c>
      <c r="H1373" s="197">
        <v>0</v>
      </c>
      <c r="I1373">
        <f t="shared" si="135"/>
        <v>979</v>
      </c>
      <c r="J1373" s="190">
        <v>0</v>
      </c>
      <c r="K1373">
        <f t="shared" si="134"/>
        <v>945</v>
      </c>
      <c r="L1373" s="62">
        <f t="shared" si="136"/>
        <v>983</v>
      </c>
      <c r="M1373" s="287">
        <v>1.9</v>
      </c>
      <c r="N1373" s="284">
        <f>VLOOKUP(2603,季財報!A:N,8,0)</f>
        <v>1</v>
      </c>
    </row>
    <row r="1374" spans="1:14">
      <c r="A1374" s="184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197">
        <v>0</v>
      </c>
      <c r="I1374">
        <f t="shared" si="135"/>
        <v>979</v>
      </c>
      <c r="J1374" s="190">
        <v>0</v>
      </c>
      <c r="K1374">
        <f t="shared" si="134"/>
        <v>945</v>
      </c>
      <c r="L1374" s="62">
        <f t="shared" si="136"/>
        <v>983</v>
      </c>
      <c r="M1374" s="287">
        <v>2.29</v>
      </c>
      <c r="N1374" s="284">
        <f>VLOOKUP(2606,季財報!A:N,8,0)</f>
        <v>3</v>
      </c>
    </row>
    <row r="1375" spans="1:14">
      <c r="A1375" s="184">
        <v>2609</v>
      </c>
      <c r="C1375">
        <v>-3026</v>
      </c>
      <c r="H1375" s="197">
        <v>0</v>
      </c>
      <c r="I1375">
        <f t="shared" si="135"/>
        <v>979</v>
      </c>
      <c r="J1375" s="190">
        <v>0</v>
      </c>
      <c r="K1375">
        <f t="shared" si="134"/>
        <v>945</v>
      </c>
      <c r="L1375" s="62">
        <f t="shared" si="136"/>
        <v>983</v>
      </c>
      <c r="M1375" s="287">
        <v>0.79</v>
      </c>
      <c r="N1375" s="284">
        <f>VLOOKUP(2609,季財報!A:N,8,0)</f>
        <v>1</v>
      </c>
    </row>
    <row r="1376" spans="1:14">
      <c r="A1376" s="184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197">
        <v>0</v>
      </c>
      <c r="I1376">
        <f t="shared" si="135"/>
        <v>979</v>
      </c>
      <c r="J1376" s="190">
        <v>0</v>
      </c>
      <c r="K1376">
        <f t="shared" si="134"/>
        <v>945</v>
      </c>
      <c r="L1376" s="62">
        <f t="shared" si="136"/>
        <v>983</v>
      </c>
      <c r="M1376" s="287">
        <v>0.79</v>
      </c>
      <c r="N1376" s="284">
        <f>VLOOKUP(2613,季財報!A:N,8,0)</f>
        <v>0</v>
      </c>
    </row>
    <row r="1377" spans="1:14">
      <c r="A1377" s="184">
        <v>2614</v>
      </c>
      <c r="C1377">
        <v>-275</v>
      </c>
      <c r="H1377" s="197">
        <v>0</v>
      </c>
      <c r="I1377">
        <f t="shared" si="135"/>
        <v>979</v>
      </c>
      <c r="J1377" s="190">
        <v>0</v>
      </c>
      <c r="K1377">
        <f t="shared" si="134"/>
        <v>945</v>
      </c>
      <c r="L1377" s="62">
        <f t="shared" si="136"/>
        <v>983</v>
      </c>
      <c r="M1377" s="287">
        <v>0.79</v>
      </c>
      <c r="N1377" s="284">
        <f>VLOOKUP(2614,季財報!A:N,8,0)</f>
        <v>3</v>
      </c>
    </row>
    <row r="1378" spans="1:14">
      <c r="A1378" s="184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197">
        <v>0</v>
      </c>
      <c r="I1378">
        <f t="shared" si="135"/>
        <v>979</v>
      </c>
      <c r="J1378" s="190">
        <v>0</v>
      </c>
      <c r="K1378">
        <f t="shared" si="134"/>
        <v>945</v>
      </c>
      <c r="L1378" s="62">
        <f t="shared" si="136"/>
        <v>983</v>
      </c>
      <c r="M1378" s="287">
        <v>0.79</v>
      </c>
      <c r="N1378" s="284">
        <f>VLOOKUP(2617,季財報!A:N,8,0)</f>
        <v>3</v>
      </c>
    </row>
    <row r="1379" spans="1:14">
      <c r="A1379" s="184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197">
        <v>0</v>
      </c>
      <c r="I1379">
        <f t="shared" si="135"/>
        <v>979</v>
      </c>
      <c r="J1379" s="190">
        <v>0</v>
      </c>
      <c r="K1379">
        <f t="shared" si="134"/>
        <v>945</v>
      </c>
      <c r="L1379" s="62">
        <f t="shared" si="136"/>
        <v>983</v>
      </c>
      <c r="M1379" s="287">
        <v>108.5</v>
      </c>
      <c r="N1379" s="284">
        <f>VLOOKUP(2642,季財報!A:N,8,0)</f>
        <v>3</v>
      </c>
    </row>
    <row r="1380" spans="1:14">
      <c r="A1380" s="184">
        <v>2719</v>
      </c>
      <c r="C1380">
        <v>-12</v>
      </c>
      <c r="H1380" s="197">
        <v>0</v>
      </c>
      <c r="I1380">
        <f t="shared" si="135"/>
        <v>979</v>
      </c>
      <c r="J1380" s="190">
        <v>0</v>
      </c>
      <c r="K1380">
        <f t="shared" si="134"/>
        <v>945</v>
      </c>
      <c r="L1380" s="62">
        <f t="shared" si="136"/>
        <v>983</v>
      </c>
      <c r="M1380" s="287">
        <v>0.79</v>
      </c>
      <c r="N1380" s="284">
        <f>VLOOKUP(2719,季財報!A:N,8,0)</f>
        <v>0</v>
      </c>
    </row>
    <row r="1381" spans="1:14">
      <c r="A1381" s="184">
        <v>2724</v>
      </c>
      <c r="C1381">
        <v>-11</v>
      </c>
      <c r="H1381" s="197">
        <v>0</v>
      </c>
      <c r="I1381">
        <f t="shared" si="135"/>
        <v>979</v>
      </c>
      <c r="J1381" s="190">
        <v>0</v>
      </c>
      <c r="K1381">
        <f t="shared" si="134"/>
        <v>945</v>
      </c>
      <c r="L1381" s="62">
        <f t="shared" si="136"/>
        <v>983</v>
      </c>
      <c r="M1381" s="287">
        <v>1.58</v>
      </c>
      <c r="N1381" s="284">
        <f>VLOOKUP(2724,季財報!A:N,8,0)</f>
        <v>3</v>
      </c>
    </row>
    <row r="1382" spans="1:14">
      <c r="A1382" s="184">
        <v>2734</v>
      </c>
      <c r="C1382">
        <v>-5</v>
      </c>
      <c r="H1382" s="197">
        <v>0</v>
      </c>
      <c r="I1382">
        <f t="shared" si="135"/>
        <v>979</v>
      </c>
      <c r="J1382" s="190">
        <v>0</v>
      </c>
      <c r="K1382">
        <f t="shared" si="134"/>
        <v>945</v>
      </c>
      <c r="L1382" s="62">
        <f t="shared" si="136"/>
        <v>983</v>
      </c>
      <c r="M1382" s="287">
        <v>1.36</v>
      </c>
      <c r="N1382" s="284">
        <f>VLOOKUP(2734,季財報!A:N,8,0)</f>
        <v>3</v>
      </c>
    </row>
    <row r="1383" spans="1:14">
      <c r="A1383" s="184">
        <v>2841</v>
      </c>
      <c r="C1383">
        <v>-74</v>
      </c>
      <c r="H1383" s="197">
        <v>0</v>
      </c>
      <c r="I1383">
        <f t="shared" si="135"/>
        <v>979</v>
      </c>
      <c r="J1383" s="190">
        <v>0</v>
      </c>
      <c r="K1383">
        <f t="shared" si="134"/>
        <v>945</v>
      </c>
      <c r="L1383" s="62">
        <f t="shared" si="136"/>
        <v>983</v>
      </c>
      <c r="M1383" s="287">
        <v>1.01</v>
      </c>
      <c r="N1383" s="284">
        <f>VLOOKUP(2841,季財報!A:N,8,0)</f>
        <v>1</v>
      </c>
    </row>
    <row r="1384" spans="1:14">
      <c r="A1384" s="184">
        <v>2911</v>
      </c>
      <c r="C1384">
        <v>-30</v>
      </c>
      <c r="H1384" s="197">
        <v>0</v>
      </c>
      <c r="I1384">
        <f t="shared" si="135"/>
        <v>979</v>
      </c>
      <c r="J1384" s="190">
        <v>0</v>
      </c>
      <c r="K1384">
        <f t="shared" si="134"/>
        <v>945</v>
      </c>
      <c r="L1384" s="62">
        <f t="shared" si="136"/>
        <v>983</v>
      </c>
      <c r="M1384" s="287">
        <v>1.01</v>
      </c>
      <c r="N1384" s="284">
        <f>VLOOKUP(2911,季財報!A:N,8,0)</f>
        <v>1</v>
      </c>
    </row>
    <row r="1385" spans="1:14">
      <c r="A1385" s="184">
        <v>2915</v>
      </c>
      <c r="C1385">
        <v>-181</v>
      </c>
      <c r="H1385" s="197">
        <v>0</v>
      </c>
      <c r="I1385">
        <f t="shared" si="135"/>
        <v>979</v>
      </c>
      <c r="J1385" s="190">
        <v>0</v>
      </c>
      <c r="K1385">
        <f t="shared" si="134"/>
        <v>945</v>
      </c>
      <c r="L1385" s="62">
        <f t="shared" si="136"/>
        <v>983</v>
      </c>
      <c r="M1385" s="287">
        <v>0.79</v>
      </c>
      <c r="N1385" s="284">
        <f>VLOOKUP(2915,季財報!A:N,8,0)</f>
        <v>3</v>
      </c>
    </row>
    <row r="1386" spans="1:14">
      <c r="A1386" s="184">
        <v>2916</v>
      </c>
      <c r="C1386">
        <v>-10</v>
      </c>
      <c r="H1386" s="197">
        <v>0</v>
      </c>
      <c r="I1386">
        <f t="shared" si="135"/>
        <v>979</v>
      </c>
      <c r="J1386" s="190">
        <v>0</v>
      </c>
      <c r="K1386">
        <f t="shared" si="134"/>
        <v>945</v>
      </c>
      <c r="L1386" s="62">
        <f t="shared" si="136"/>
        <v>983</v>
      </c>
      <c r="M1386" s="287">
        <v>0.79</v>
      </c>
      <c r="N1386" s="284">
        <f>VLOOKUP(2916,季財報!A:N,8,0)</f>
        <v>1</v>
      </c>
    </row>
    <row r="1387" spans="1:14">
      <c r="A1387" s="184">
        <v>3006</v>
      </c>
      <c r="C1387">
        <v>0</v>
      </c>
      <c r="H1387" s="197">
        <v>0</v>
      </c>
      <c r="I1387">
        <f t="shared" si="135"/>
        <v>979</v>
      </c>
      <c r="J1387" s="190">
        <v>0</v>
      </c>
      <c r="K1387">
        <f t="shared" si="134"/>
        <v>945</v>
      </c>
      <c r="L1387" s="62">
        <f t="shared" si="136"/>
        <v>983</v>
      </c>
      <c r="M1387" s="287">
        <v>0.79</v>
      </c>
      <c r="N1387" s="284">
        <f>VLOOKUP(3006,季財報!A:N,8,0)</f>
        <v>2</v>
      </c>
    </row>
    <row r="1388" spans="1:14">
      <c r="A1388" s="184">
        <v>3011</v>
      </c>
      <c r="C1388">
        <v>-39</v>
      </c>
      <c r="H1388" s="197">
        <v>0</v>
      </c>
      <c r="I1388">
        <f t="shared" si="135"/>
        <v>979</v>
      </c>
      <c r="J1388" s="190">
        <v>0</v>
      </c>
      <c r="K1388">
        <f t="shared" si="134"/>
        <v>945</v>
      </c>
      <c r="L1388" s="62">
        <f t="shared" si="136"/>
        <v>983</v>
      </c>
      <c r="M1388" s="287">
        <v>0.79</v>
      </c>
      <c r="N1388" s="284">
        <f>VLOOKUP(3011,季財報!A:N,8,0)</f>
        <v>1</v>
      </c>
    </row>
    <row r="1389" spans="1:14">
      <c r="A1389" s="184">
        <v>3015</v>
      </c>
      <c r="C1389">
        <v>-16</v>
      </c>
      <c r="H1389" s="197">
        <v>0</v>
      </c>
      <c r="I1389">
        <f t="shared" si="135"/>
        <v>979</v>
      </c>
      <c r="J1389" s="190">
        <v>0</v>
      </c>
      <c r="K1389">
        <f t="shared" si="134"/>
        <v>945</v>
      </c>
      <c r="L1389" s="62">
        <f t="shared" si="136"/>
        <v>983</v>
      </c>
      <c r="M1389" s="287">
        <v>1.01</v>
      </c>
      <c r="N1389" s="284">
        <f>VLOOKUP(3015,季財報!A:N,8,0)</f>
        <v>3</v>
      </c>
    </row>
    <row r="1390" spans="1:14">
      <c r="A1390" s="184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197">
        <v>0</v>
      </c>
      <c r="I1390">
        <f t="shared" si="135"/>
        <v>979</v>
      </c>
      <c r="J1390" s="190">
        <v>0</v>
      </c>
      <c r="K1390">
        <f t="shared" si="134"/>
        <v>945</v>
      </c>
      <c r="L1390" s="62">
        <f t="shared" si="136"/>
        <v>983</v>
      </c>
      <c r="M1390" s="287">
        <v>1.6</v>
      </c>
      <c r="N1390" s="284">
        <f>VLOOKUP(3016,季財報!A:N,8,0)</f>
        <v>2</v>
      </c>
    </row>
    <row r="1391" spans="1:14">
      <c r="A1391" s="184">
        <v>3024</v>
      </c>
      <c r="C1391">
        <v>-135</v>
      </c>
      <c r="H1391" s="197">
        <v>0</v>
      </c>
      <c r="I1391">
        <f t="shared" si="135"/>
        <v>979</v>
      </c>
      <c r="J1391" s="190">
        <v>0</v>
      </c>
      <c r="K1391">
        <f t="shared" si="134"/>
        <v>945</v>
      </c>
      <c r="L1391" s="62">
        <f t="shared" si="136"/>
        <v>983</v>
      </c>
      <c r="M1391" s="287">
        <v>0.79</v>
      </c>
      <c r="N1391" s="284">
        <f>VLOOKUP(3024,季財報!A:N,8,0)</f>
        <v>0</v>
      </c>
    </row>
    <row r="1392" spans="1:14">
      <c r="A1392" s="184">
        <v>3025</v>
      </c>
      <c r="C1392">
        <v>-13</v>
      </c>
      <c r="H1392" s="197">
        <v>0</v>
      </c>
      <c r="I1392">
        <f t="shared" si="135"/>
        <v>979</v>
      </c>
      <c r="J1392" s="190">
        <v>0</v>
      </c>
      <c r="K1392">
        <f t="shared" si="134"/>
        <v>945</v>
      </c>
      <c r="L1392" s="62">
        <f t="shared" si="136"/>
        <v>983</v>
      </c>
      <c r="M1392" s="287">
        <v>0.79</v>
      </c>
      <c r="N1392" s="284">
        <f>VLOOKUP(3025,季財報!A:N,8,0)</f>
        <v>0</v>
      </c>
    </row>
    <row r="1393" spans="1:14">
      <c r="A1393" s="184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197">
        <v>0</v>
      </c>
      <c r="I1393">
        <f t="shared" si="135"/>
        <v>979</v>
      </c>
      <c r="J1393" s="190">
        <v>0</v>
      </c>
      <c r="K1393">
        <f t="shared" si="134"/>
        <v>945</v>
      </c>
      <c r="L1393" s="62">
        <f t="shared" si="136"/>
        <v>983</v>
      </c>
      <c r="M1393" s="287">
        <v>1.9</v>
      </c>
      <c r="N1393" s="284">
        <f>VLOOKUP(3027,季財報!A:N,8,0)</f>
        <v>2</v>
      </c>
    </row>
    <row r="1394" spans="1:14">
      <c r="A1394" s="184">
        <v>3031</v>
      </c>
      <c r="C1394">
        <v>-44</v>
      </c>
      <c r="H1394" s="197">
        <v>0</v>
      </c>
      <c r="I1394">
        <f t="shared" si="135"/>
        <v>979</v>
      </c>
      <c r="J1394" s="190">
        <v>0</v>
      </c>
      <c r="K1394">
        <f t="shared" si="134"/>
        <v>945</v>
      </c>
      <c r="L1394" s="62">
        <f t="shared" si="136"/>
        <v>983</v>
      </c>
      <c r="M1394" s="287">
        <v>0.79</v>
      </c>
      <c r="N1394" s="284">
        <f>VLOOKUP(3031,季財報!A:N,8,0)</f>
        <v>3</v>
      </c>
    </row>
    <row r="1395" spans="1:14">
      <c r="A1395" s="184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197">
        <v>0</v>
      </c>
      <c r="I1395">
        <f t="shared" si="135"/>
        <v>979</v>
      </c>
      <c r="J1395" s="190">
        <v>0</v>
      </c>
      <c r="K1395">
        <f t="shared" si="134"/>
        <v>945</v>
      </c>
      <c r="L1395" s="62">
        <f t="shared" si="136"/>
        <v>983</v>
      </c>
      <c r="M1395" s="287">
        <v>0.79</v>
      </c>
      <c r="N1395" s="284">
        <f>VLOOKUP(3040,季財報!A:N,8,0)</f>
        <v>2</v>
      </c>
    </row>
    <row r="1396" spans="1:14">
      <c r="A1396" s="184">
        <v>3041</v>
      </c>
      <c r="C1396">
        <v>-40</v>
      </c>
      <c r="H1396" s="197">
        <v>0</v>
      </c>
      <c r="I1396">
        <f t="shared" si="135"/>
        <v>979</v>
      </c>
      <c r="J1396" s="190">
        <v>0</v>
      </c>
      <c r="K1396">
        <f t="shared" si="134"/>
        <v>945</v>
      </c>
      <c r="L1396" s="62">
        <f t="shared" si="136"/>
        <v>983</v>
      </c>
      <c r="M1396" s="287">
        <v>0.79</v>
      </c>
      <c r="N1396" s="284">
        <f>VLOOKUP(3041,季財報!A:N,8,0)</f>
        <v>2</v>
      </c>
    </row>
    <row r="1397" spans="1:14">
      <c r="A1397" s="184">
        <v>3043</v>
      </c>
      <c r="C1397">
        <v>-52</v>
      </c>
      <c r="H1397" s="197">
        <v>0</v>
      </c>
      <c r="I1397">
        <f t="shared" si="135"/>
        <v>979</v>
      </c>
      <c r="J1397" s="190">
        <v>0</v>
      </c>
      <c r="K1397">
        <f t="shared" si="134"/>
        <v>945</v>
      </c>
      <c r="L1397" s="62">
        <f t="shared" si="136"/>
        <v>983</v>
      </c>
      <c r="M1397" s="287">
        <v>0.79</v>
      </c>
      <c r="N1397" s="284">
        <f>VLOOKUP(3043,季財報!A:N,8,0)</f>
        <v>2</v>
      </c>
    </row>
    <row r="1398" spans="1:14">
      <c r="A1398" s="184">
        <v>3046</v>
      </c>
      <c r="C1398">
        <v>-31</v>
      </c>
      <c r="H1398" s="197">
        <v>0</v>
      </c>
      <c r="I1398">
        <f t="shared" si="135"/>
        <v>979</v>
      </c>
      <c r="J1398" s="190">
        <v>0</v>
      </c>
      <c r="K1398">
        <f t="shared" si="134"/>
        <v>945</v>
      </c>
      <c r="L1398" s="62">
        <f t="shared" si="136"/>
        <v>983</v>
      </c>
      <c r="M1398" s="287">
        <v>0.79</v>
      </c>
      <c r="N1398" s="284">
        <f>VLOOKUP(3046,季財報!A:N,8,0)</f>
        <v>5</v>
      </c>
    </row>
    <row r="1399" spans="1:14">
      <c r="A1399" s="184">
        <v>3054</v>
      </c>
      <c r="C1399">
        <v>-30</v>
      </c>
      <c r="H1399" s="197">
        <v>0</v>
      </c>
      <c r="I1399">
        <f t="shared" si="135"/>
        <v>979</v>
      </c>
      <c r="J1399" s="190">
        <v>0</v>
      </c>
      <c r="K1399">
        <f t="shared" si="134"/>
        <v>945</v>
      </c>
      <c r="L1399" s="62">
        <f t="shared" si="136"/>
        <v>983</v>
      </c>
      <c r="M1399" s="287">
        <v>0.79</v>
      </c>
      <c r="N1399" s="284">
        <f>VLOOKUP(3054,季財報!A:N,8,0)</f>
        <v>1</v>
      </c>
    </row>
    <row r="1400" spans="1:14">
      <c r="A1400" s="184">
        <v>3055</v>
      </c>
      <c r="C1400">
        <v>0</v>
      </c>
      <c r="H1400" s="197">
        <v>0</v>
      </c>
      <c r="I1400">
        <f t="shared" si="135"/>
        <v>979</v>
      </c>
      <c r="J1400" s="190">
        <v>0</v>
      </c>
      <c r="K1400">
        <f t="shared" ref="K1400:K1463" si="137">RANK(0,J:J,0)</f>
        <v>945</v>
      </c>
      <c r="L1400" s="62">
        <f t="shared" si="136"/>
        <v>983</v>
      </c>
      <c r="M1400" s="287">
        <v>0.79</v>
      </c>
      <c r="N1400" s="284">
        <f>VLOOKUP(3055,季財報!A:N,8,0)</f>
        <v>0</v>
      </c>
    </row>
    <row r="1401" spans="1:14">
      <c r="A1401" s="184">
        <v>3057</v>
      </c>
      <c r="C1401">
        <v>-12</v>
      </c>
      <c r="H1401" s="197">
        <v>0</v>
      </c>
      <c r="I1401">
        <f t="shared" si="135"/>
        <v>979</v>
      </c>
      <c r="J1401" s="190">
        <v>0</v>
      </c>
      <c r="K1401">
        <f t="shared" si="137"/>
        <v>945</v>
      </c>
      <c r="L1401" s="62">
        <f t="shared" si="136"/>
        <v>983</v>
      </c>
      <c r="M1401" s="287">
        <v>3.11</v>
      </c>
      <c r="N1401" s="284">
        <f>VLOOKUP(3057,季財報!A:N,8,0)</f>
        <v>2</v>
      </c>
    </row>
    <row r="1402" spans="1:14">
      <c r="A1402" s="184">
        <v>3064</v>
      </c>
      <c r="C1402">
        <v>-34</v>
      </c>
      <c r="H1402" s="197">
        <v>0</v>
      </c>
      <c r="I1402">
        <f t="shared" si="135"/>
        <v>979</v>
      </c>
      <c r="J1402" s="190">
        <v>0</v>
      </c>
      <c r="K1402">
        <f t="shared" si="137"/>
        <v>945</v>
      </c>
      <c r="L1402" s="62">
        <f t="shared" si="136"/>
        <v>983</v>
      </c>
      <c r="M1402" s="287">
        <v>1.01</v>
      </c>
      <c r="N1402" s="284">
        <f>VLOOKUP(3064,季財報!A:N,8,0)</f>
        <v>2</v>
      </c>
    </row>
    <row r="1403" spans="1:14">
      <c r="A1403" s="184">
        <v>3066</v>
      </c>
      <c r="C1403">
        <v>-55</v>
      </c>
      <c r="H1403" s="197">
        <v>0</v>
      </c>
      <c r="I1403">
        <f t="shared" si="135"/>
        <v>979</v>
      </c>
      <c r="J1403" s="190">
        <v>0</v>
      </c>
      <c r="K1403">
        <f t="shared" si="137"/>
        <v>945</v>
      </c>
      <c r="L1403" s="62">
        <f t="shared" si="136"/>
        <v>983</v>
      </c>
      <c r="M1403" s="287">
        <v>0.79</v>
      </c>
      <c r="N1403" s="284">
        <f>VLOOKUP(3066,季財報!A:N,8,0)</f>
        <v>1</v>
      </c>
    </row>
    <row r="1404" spans="1:14">
      <c r="A1404" s="184">
        <v>3067</v>
      </c>
      <c r="C1404">
        <v>-10</v>
      </c>
      <c r="H1404" s="197">
        <v>0</v>
      </c>
      <c r="I1404">
        <f t="shared" si="135"/>
        <v>979</v>
      </c>
      <c r="J1404" s="190">
        <v>0</v>
      </c>
      <c r="K1404">
        <f t="shared" si="137"/>
        <v>945</v>
      </c>
      <c r="L1404" s="62">
        <f t="shared" si="136"/>
        <v>983</v>
      </c>
      <c r="M1404" s="287">
        <v>0.79</v>
      </c>
      <c r="N1404" s="284">
        <f>VLOOKUP(3067,季財報!A:N,8,0)</f>
        <v>0</v>
      </c>
    </row>
    <row r="1405" spans="1:14">
      <c r="A1405" s="184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197">
        <v>0</v>
      </c>
      <c r="I1405">
        <f t="shared" si="135"/>
        <v>979</v>
      </c>
      <c r="J1405" s="190">
        <v>0</v>
      </c>
      <c r="K1405">
        <f t="shared" si="137"/>
        <v>945</v>
      </c>
      <c r="L1405" s="62">
        <f t="shared" si="136"/>
        <v>983</v>
      </c>
      <c r="M1405" s="287">
        <v>0.79</v>
      </c>
      <c r="N1405" s="284">
        <f>VLOOKUP(3071,季財報!A:N,8,0)</f>
        <v>0</v>
      </c>
    </row>
    <row r="1406" spans="1:14">
      <c r="A1406" s="184">
        <v>3073</v>
      </c>
      <c r="C1406">
        <v>-6</v>
      </c>
      <c r="H1406" s="197">
        <v>0</v>
      </c>
      <c r="I1406">
        <f t="shared" si="135"/>
        <v>979</v>
      </c>
      <c r="J1406" s="190">
        <v>0</v>
      </c>
      <c r="K1406">
        <f t="shared" si="137"/>
        <v>945</v>
      </c>
      <c r="L1406" s="62">
        <f t="shared" si="136"/>
        <v>983</v>
      </c>
      <c r="M1406" s="287">
        <v>0.87</v>
      </c>
      <c r="N1406" s="284">
        <f>VLOOKUP(3073,季財報!A:N,8,0)</f>
        <v>1</v>
      </c>
    </row>
    <row r="1407" spans="1:14">
      <c r="A1407" s="184">
        <v>3083</v>
      </c>
      <c r="C1407">
        <v>-76</v>
      </c>
      <c r="H1407" s="197">
        <v>0</v>
      </c>
      <c r="I1407">
        <f t="shared" si="135"/>
        <v>979</v>
      </c>
      <c r="J1407" s="190">
        <v>0</v>
      </c>
      <c r="K1407">
        <f t="shared" si="137"/>
        <v>945</v>
      </c>
      <c r="L1407" s="62">
        <f t="shared" si="136"/>
        <v>983</v>
      </c>
      <c r="M1407" s="287">
        <v>0.79</v>
      </c>
      <c r="N1407" s="284">
        <f>VLOOKUP(3083,季財報!A:N,8,0)</f>
        <v>2</v>
      </c>
    </row>
    <row r="1408" spans="1:14">
      <c r="A1408" s="184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197">
        <v>0</v>
      </c>
      <c r="I1408">
        <f t="shared" si="135"/>
        <v>979</v>
      </c>
      <c r="J1408" s="190">
        <v>0</v>
      </c>
      <c r="K1408">
        <f t="shared" si="137"/>
        <v>945</v>
      </c>
      <c r="L1408" s="62">
        <f t="shared" si="136"/>
        <v>983</v>
      </c>
      <c r="M1408" s="287">
        <v>0.79</v>
      </c>
      <c r="N1408" s="284">
        <f>VLOOKUP(3085,季財報!A:N,8,0)</f>
        <v>3</v>
      </c>
    </row>
    <row r="1409" spans="1:14">
      <c r="A1409" s="184">
        <v>3086</v>
      </c>
      <c r="C1409">
        <v>-27</v>
      </c>
      <c r="H1409" s="197">
        <v>0</v>
      </c>
      <c r="I1409">
        <f t="shared" si="135"/>
        <v>979</v>
      </c>
      <c r="J1409" s="190">
        <v>0</v>
      </c>
      <c r="K1409">
        <f t="shared" si="137"/>
        <v>945</v>
      </c>
      <c r="L1409" s="62">
        <f t="shared" si="136"/>
        <v>983</v>
      </c>
      <c r="M1409" s="287">
        <v>0.79</v>
      </c>
      <c r="N1409" s="284">
        <f>VLOOKUP(3086,季財報!A:N,8,0)</f>
        <v>3</v>
      </c>
    </row>
    <row r="1410" spans="1:14">
      <c r="A1410" s="184">
        <v>3089</v>
      </c>
      <c r="C1410">
        <v>-63</v>
      </c>
      <c r="H1410" s="197">
        <v>0</v>
      </c>
      <c r="I1410">
        <f t="shared" si="135"/>
        <v>979</v>
      </c>
      <c r="J1410" s="190">
        <v>0</v>
      </c>
      <c r="K1410">
        <f t="shared" si="137"/>
        <v>945</v>
      </c>
      <c r="L1410" s="62">
        <f t="shared" si="136"/>
        <v>983</v>
      </c>
      <c r="M1410" s="287">
        <v>0.79</v>
      </c>
      <c r="N1410" s="284">
        <f>VLOOKUP(3089,季財報!A:N,8,0)</f>
        <v>1</v>
      </c>
    </row>
    <row r="1411" spans="1:14">
      <c r="A1411" s="184">
        <v>3095</v>
      </c>
      <c r="C1411">
        <v>-344</v>
      </c>
      <c r="H1411" s="197">
        <v>0</v>
      </c>
      <c r="I1411">
        <f t="shared" si="135"/>
        <v>979</v>
      </c>
      <c r="J1411" s="190">
        <v>0</v>
      </c>
      <c r="K1411">
        <f t="shared" si="137"/>
        <v>945</v>
      </c>
      <c r="L1411" s="62">
        <f t="shared" si="136"/>
        <v>983</v>
      </c>
      <c r="M1411" s="287">
        <v>0.79</v>
      </c>
      <c r="N1411" s="284">
        <f>VLOOKUP(3095,季財報!A:N,8,0)</f>
        <v>2</v>
      </c>
    </row>
    <row r="1412" spans="1:14">
      <c r="A1412" s="184">
        <v>3115</v>
      </c>
      <c r="C1412">
        <v>-2</v>
      </c>
      <c r="H1412" s="197">
        <v>0</v>
      </c>
      <c r="I1412">
        <f t="shared" si="135"/>
        <v>979</v>
      </c>
      <c r="J1412" s="190">
        <v>0</v>
      </c>
      <c r="K1412">
        <f t="shared" si="137"/>
        <v>945</v>
      </c>
      <c r="L1412" s="62">
        <f t="shared" si="136"/>
        <v>983</v>
      </c>
      <c r="M1412" s="287">
        <v>0.79</v>
      </c>
      <c r="N1412" s="284">
        <f>VLOOKUP(3115,季財報!A:N,8,0)</f>
        <v>1</v>
      </c>
    </row>
    <row r="1413" spans="1:14">
      <c r="A1413" s="184">
        <v>3122</v>
      </c>
      <c r="C1413">
        <v>-3</v>
      </c>
      <c r="H1413" s="197">
        <v>0</v>
      </c>
      <c r="I1413">
        <f t="shared" si="135"/>
        <v>979</v>
      </c>
      <c r="J1413" s="190">
        <v>0</v>
      </c>
      <c r="K1413">
        <f t="shared" si="137"/>
        <v>945</v>
      </c>
      <c r="L1413" s="62">
        <f t="shared" si="136"/>
        <v>983</v>
      </c>
      <c r="M1413" s="287">
        <v>1.58</v>
      </c>
      <c r="N1413" s="284">
        <f>VLOOKUP(3122,季財報!A:N,8,0)</f>
        <v>1</v>
      </c>
    </row>
    <row r="1414" spans="1:14">
      <c r="A1414" s="184">
        <v>3126</v>
      </c>
      <c r="C1414">
        <v>-11</v>
      </c>
      <c r="H1414" s="197">
        <v>0</v>
      </c>
      <c r="I1414">
        <f t="shared" si="135"/>
        <v>979</v>
      </c>
      <c r="J1414" s="190">
        <v>0</v>
      </c>
      <c r="K1414">
        <f t="shared" si="137"/>
        <v>945</v>
      </c>
      <c r="L1414" s="62">
        <f t="shared" si="136"/>
        <v>983</v>
      </c>
      <c r="M1414" s="287">
        <v>0.79</v>
      </c>
      <c r="N1414" s="284" t="e">
        <f>VLOOKUP(3126,季財報!A:N,8,0)</f>
        <v>#N/A</v>
      </c>
    </row>
    <row r="1415" spans="1:14">
      <c r="A1415" s="184">
        <v>3128</v>
      </c>
      <c r="C1415">
        <v>-4</v>
      </c>
      <c r="H1415" s="197">
        <v>0</v>
      </c>
      <c r="I1415">
        <f t="shared" si="135"/>
        <v>979</v>
      </c>
      <c r="J1415" s="190">
        <v>0</v>
      </c>
      <c r="K1415">
        <f t="shared" si="137"/>
        <v>945</v>
      </c>
      <c r="L1415" s="62">
        <f t="shared" si="136"/>
        <v>983</v>
      </c>
      <c r="M1415" s="287">
        <v>0.87</v>
      </c>
      <c r="N1415" s="284">
        <f>VLOOKUP(3128,季財報!A:N,8,0)</f>
        <v>2</v>
      </c>
    </row>
    <row r="1416" spans="1:14">
      <c r="A1416" s="184">
        <v>3149</v>
      </c>
      <c r="C1416">
        <v>-408</v>
      </c>
      <c r="H1416" s="197">
        <v>0</v>
      </c>
      <c r="I1416">
        <f t="shared" si="135"/>
        <v>979</v>
      </c>
      <c r="J1416" s="190">
        <v>0</v>
      </c>
      <c r="K1416">
        <f t="shared" si="137"/>
        <v>945</v>
      </c>
      <c r="L1416" s="62">
        <f t="shared" si="136"/>
        <v>983</v>
      </c>
      <c r="M1416" s="287">
        <v>1.84</v>
      </c>
      <c r="N1416" s="284">
        <f>VLOOKUP(3149,季財報!A:N,8,0)</f>
        <v>3</v>
      </c>
    </row>
    <row r="1417" spans="1:14">
      <c r="A1417" s="184">
        <v>3163</v>
      </c>
      <c r="C1417">
        <v>-30</v>
      </c>
      <c r="H1417" s="197">
        <v>0</v>
      </c>
      <c r="I1417">
        <f t="shared" si="135"/>
        <v>979</v>
      </c>
      <c r="J1417" s="190">
        <v>0</v>
      </c>
      <c r="K1417">
        <f t="shared" si="137"/>
        <v>945</v>
      </c>
      <c r="L1417" s="62">
        <f t="shared" si="136"/>
        <v>983</v>
      </c>
      <c r="M1417" s="287">
        <v>0.79</v>
      </c>
      <c r="N1417" s="284">
        <f>VLOOKUP(3163,季財報!A:N,8,0)</f>
        <v>1</v>
      </c>
    </row>
    <row r="1418" spans="1:14">
      <c r="A1418" s="184">
        <v>3176</v>
      </c>
      <c r="C1418">
        <v>-171</v>
      </c>
      <c r="H1418" s="197">
        <v>0</v>
      </c>
      <c r="I1418">
        <f t="shared" si="135"/>
        <v>979</v>
      </c>
      <c r="J1418" s="190">
        <v>0</v>
      </c>
      <c r="K1418">
        <f t="shared" si="137"/>
        <v>945</v>
      </c>
      <c r="L1418" s="62">
        <f t="shared" si="136"/>
        <v>983</v>
      </c>
      <c r="M1418" s="287">
        <v>0.79</v>
      </c>
      <c r="N1418" s="284">
        <f>VLOOKUP(3176,季財報!A:N,8,0)</f>
        <v>2</v>
      </c>
    </row>
    <row r="1419" spans="1:14">
      <c r="A1419" s="184">
        <v>3188</v>
      </c>
      <c r="C1419">
        <v>-2</v>
      </c>
      <c r="H1419" s="197">
        <v>0</v>
      </c>
      <c r="I1419">
        <f t="shared" si="135"/>
        <v>979</v>
      </c>
      <c r="J1419" s="190">
        <v>0</v>
      </c>
      <c r="K1419">
        <f t="shared" si="137"/>
        <v>945</v>
      </c>
      <c r="L1419" s="62">
        <f t="shared" si="136"/>
        <v>983</v>
      </c>
      <c r="M1419" s="287">
        <v>0.79</v>
      </c>
      <c r="N1419" s="284">
        <f>VLOOKUP(3188,季財報!A:N,8,0)</f>
        <v>5</v>
      </c>
    </row>
    <row r="1420" spans="1:14">
      <c r="A1420" s="184">
        <v>3191</v>
      </c>
      <c r="C1420">
        <v>-11</v>
      </c>
      <c r="H1420" s="197">
        <v>0</v>
      </c>
      <c r="I1420">
        <f t="shared" si="135"/>
        <v>979</v>
      </c>
      <c r="J1420" s="190">
        <v>0</v>
      </c>
      <c r="K1420">
        <f t="shared" si="137"/>
        <v>945</v>
      </c>
      <c r="L1420" s="62">
        <f t="shared" si="136"/>
        <v>983</v>
      </c>
      <c r="M1420" s="287">
        <v>0.79</v>
      </c>
      <c r="N1420" s="284" t="e">
        <f>VLOOKUP(3191,季財報!A:N,8,0)</f>
        <v>#N/A</v>
      </c>
    </row>
    <row r="1421" spans="1:14">
      <c r="A1421" s="184">
        <v>3202</v>
      </c>
      <c r="C1421">
        <v>-3</v>
      </c>
      <c r="H1421" s="197">
        <v>0</v>
      </c>
      <c r="I1421">
        <f t="shared" si="135"/>
        <v>979</v>
      </c>
      <c r="J1421" s="190">
        <v>0</v>
      </c>
      <c r="K1421">
        <f t="shared" si="137"/>
        <v>945</v>
      </c>
      <c r="L1421" s="62">
        <f t="shared" si="136"/>
        <v>983</v>
      </c>
      <c r="M1421" s="287">
        <v>0.79</v>
      </c>
      <c r="N1421" s="284">
        <f>VLOOKUP(3202,季財報!A:N,8,0)</f>
        <v>2</v>
      </c>
    </row>
    <row r="1422" spans="1:14">
      <c r="A1422" s="184">
        <v>3207</v>
      </c>
      <c r="C1422">
        <v>-13</v>
      </c>
      <c r="H1422" s="197">
        <v>0</v>
      </c>
      <c r="I1422">
        <f t="shared" si="135"/>
        <v>979</v>
      </c>
      <c r="J1422" s="190">
        <v>0</v>
      </c>
      <c r="K1422">
        <f t="shared" si="137"/>
        <v>945</v>
      </c>
      <c r="L1422" s="62">
        <f t="shared" si="136"/>
        <v>983</v>
      </c>
      <c r="M1422" s="287">
        <v>0.79</v>
      </c>
      <c r="N1422" s="284">
        <f>VLOOKUP(3207,季財報!A:N,8,0)</f>
        <v>3</v>
      </c>
    </row>
    <row r="1423" spans="1:14">
      <c r="A1423" s="184">
        <v>3228</v>
      </c>
      <c r="C1423">
        <v>-21</v>
      </c>
      <c r="H1423" s="197">
        <v>0</v>
      </c>
      <c r="I1423">
        <f t="shared" si="135"/>
        <v>979</v>
      </c>
      <c r="J1423" s="190">
        <v>0</v>
      </c>
      <c r="K1423">
        <f t="shared" si="137"/>
        <v>945</v>
      </c>
      <c r="L1423" s="62">
        <f t="shared" si="136"/>
        <v>983</v>
      </c>
      <c r="M1423" s="287">
        <v>0.79</v>
      </c>
      <c r="N1423" s="284">
        <f>VLOOKUP(3228,季財報!A:N,8,0)</f>
        <v>0</v>
      </c>
    </row>
    <row r="1424" spans="1:14">
      <c r="A1424" s="184">
        <v>3229</v>
      </c>
      <c r="C1424">
        <v>-16</v>
      </c>
      <c r="H1424" s="197">
        <v>0</v>
      </c>
      <c r="I1424">
        <f t="shared" si="135"/>
        <v>979</v>
      </c>
      <c r="J1424" s="190">
        <v>0</v>
      </c>
      <c r="K1424">
        <f t="shared" si="137"/>
        <v>945</v>
      </c>
      <c r="L1424" s="62">
        <f t="shared" si="136"/>
        <v>983</v>
      </c>
      <c r="M1424" s="287">
        <v>0.79</v>
      </c>
      <c r="N1424" s="284">
        <f>VLOOKUP(3229,季財報!A:N,8,0)</f>
        <v>0</v>
      </c>
    </row>
    <row r="1425" spans="1:14">
      <c r="A1425" s="184">
        <v>3230</v>
      </c>
      <c r="C1425">
        <v>-27</v>
      </c>
      <c r="H1425" s="197">
        <v>0</v>
      </c>
      <c r="I1425">
        <f t="shared" si="135"/>
        <v>979</v>
      </c>
      <c r="J1425" s="190">
        <v>0</v>
      </c>
      <c r="K1425">
        <f t="shared" si="137"/>
        <v>945</v>
      </c>
      <c r="L1425" s="62">
        <f t="shared" si="136"/>
        <v>983</v>
      </c>
      <c r="M1425" s="287">
        <v>1.36</v>
      </c>
      <c r="N1425" s="284">
        <f>VLOOKUP(3230,季財報!A:N,8,0)</f>
        <v>0</v>
      </c>
    </row>
    <row r="1426" spans="1:14">
      <c r="A1426" s="184">
        <v>3232</v>
      </c>
      <c r="C1426">
        <v>-9</v>
      </c>
      <c r="H1426" s="197">
        <v>0</v>
      </c>
      <c r="I1426">
        <f t="shared" si="135"/>
        <v>979</v>
      </c>
      <c r="J1426" s="190">
        <v>0</v>
      </c>
      <c r="K1426">
        <f t="shared" si="137"/>
        <v>945</v>
      </c>
      <c r="L1426" s="62">
        <f t="shared" si="136"/>
        <v>983</v>
      </c>
      <c r="M1426" s="287">
        <v>0.79</v>
      </c>
      <c r="N1426" s="284">
        <f>VLOOKUP(3232,季財報!A:N,8,0)</f>
        <v>1</v>
      </c>
    </row>
    <row r="1427" spans="1:14">
      <c r="A1427" s="184">
        <v>3259</v>
      </c>
      <c r="C1427">
        <v>-57</v>
      </c>
      <c r="H1427" s="197">
        <v>0</v>
      </c>
      <c r="I1427">
        <f t="shared" si="135"/>
        <v>979</v>
      </c>
      <c r="J1427" s="190">
        <v>0</v>
      </c>
      <c r="K1427">
        <f t="shared" si="137"/>
        <v>945</v>
      </c>
      <c r="L1427" s="62">
        <f t="shared" si="136"/>
        <v>983</v>
      </c>
      <c r="M1427" s="287">
        <v>9.26</v>
      </c>
      <c r="N1427" s="284">
        <f>VLOOKUP(3259,季財報!A:N,8,0)</f>
        <v>1</v>
      </c>
    </row>
    <row r="1428" spans="1:14">
      <c r="A1428" s="184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197">
        <v>0</v>
      </c>
      <c r="I1428">
        <f t="shared" si="135"/>
        <v>979</v>
      </c>
      <c r="J1428" s="190">
        <v>0</v>
      </c>
      <c r="K1428">
        <f t="shared" si="137"/>
        <v>945</v>
      </c>
      <c r="L1428" s="62">
        <f t="shared" si="136"/>
        <v>983</v>
      </c>
      <c r="M1428" s="287">
        <v>0.79</v>
      </c>
      <c r="N1428" s="284">
        <f>VLOOKUP(3260,季財報!A:N,8,0)</f>
        <v>2</v>
      </c>
    </row>
    <row r="1429" spans="1:14">
      <c r="A1429" s="184">
        <v>3265</v>
      </c>
      <c r="C1429">
        <v>-160</v>
      </c>
      <c r="H1429" s="197">
        <v>0</v>
      </c>
      <c r="I1429">
        <f t="shared" si="135"/>
        <v>979</v>
      </c>
      <c r="J1429" s="190">
        <v>0</v>
      </c>
      <c r="K1429">
        <f t="shared" si="137"/>
        <v>945</v>
      </c>
      <c r="L1429" s="62">
        <f t="shared" si="136"/>
        <v>983</v>
      </c>
      <c r="M1429" s="287">
        <v>0.79</v>
      </c>
      <c r="N1429" s="284">
        <f>VLOOKUP(3265,季財報!A:N,8,0)</f>
        <v>4</v>
      </c>
    </row>
    <row r="1430" spans="1:14">
      <c r="A1430" s="184">
        <v>3266</v>
      </c>
      <c r="C1430">
        <v>-619</v>
      </c>
      <c r="H1430" s="197">
        <v>0</v>
      </c>
      <c r="I1430">
        <f t="shared" si="135"/>
        <v>979</v>
      </c>
      <c r="J1430" s="190">
        <v>0</v>
      </c>
      <c r="K1430">
        <f t="shared" si="137"/>
        <v>945</v>
      </c>
      <c r="L1430" s="62">
        <f t="shared" si="136"/>
        <v>983</v>
      </c>
      <c r="M1430" s="287">
        <v>0.79</v>
      </c>
      <c r="N1430" s="284">
        <f>VLOOKUP(3266,季財報!A:N,8,0)</f>
        <v>3</v>
      </c>
    </row>
    <row r="1431" spans="1:14">
      <c r="A1431" s="184">
        <v>3268</v>
      </c>
      <c r="C1431">
        <v>-5</v>
      </c>
      <c r="H1431" s="197">
        <v>0</v>
      </c>
      <c r="I1431">
        <f t="shared" si="135"/>
        <v>979</v>
      </c>
      <c r="J1431" s="190">
        <v>0</v>
      </c>
      <c r="K1431">
        <f t="shared" si="137"/>
        <v>945</v>
      </c>
      <c r="L1431" s="62">
        <f t="shared" si="136"/>
        <v>983</v>
      </c>
      <c r="M1431" s="287">
        <v>1.84</v>
      </c>
      <c r="N1431" s="284">
        <f>VLOOKUP(3268,季財報!A:N,8,0)</f>
        <v>2</v>
      </c>
    </row>
    <row r="1432" spans="1:14">
      <c r="A1432" s="184">
        <v>3276</v>
      </c>
      <c r="C1432">
        <v>-2</v>
      </c>
      <c r="H1432" s="197">
        <v>0</v>
      </c>
      <c r="I1432">
        <f t="shared" ref="I1432:I1495" si="138">RANK(0,H:H,0)</f>
        <v>979</v>
      </c>
      <c r="J1432" s="190">
        <v>0</v>
      </c>
      <c r="K1432">
        <f t="shared" si="137"/>
        <v>945</v>
      </c>
      <c r="L1432" s="62">
        <f t="shared" ref="L1432:L1495" si="139">RANK(0.79,M:M,0)</f>
        <v>983</v>
      </c>
      <c r="M1432" s="287">
        <v>1.9</v>
      </c>
      <c r="N1432" s="284">
        <f>VLOOKUP(3276,季財報!A:N,8,0)</f>
        <v>2</v>
      </c>
    </row>
    <row r="1433" spans="1:14">
      <c r="A1433" s="184">
        <v>3284</v>
      </c>
      <c r="C1433">
        <v>0</v>
      </c>
      <c r="H1433" s="197">
        <v>0</v>
      </c>
      <c r="I1433">
        <f t="shared" si="138"/>
        <v>979</v>
      </c>
      <c r="J1433" s="190">
        <v>0</v>
      </c>
      <c r="K1433">
        <f t="shared" si="137"/>
        <v>945</v>
      </c>
      <c r="L1433" s="62">
        <f t="shared" si="139"/>
        <v>983</v>
      </c>
      <c r="M1433" s="287">
        <v>0.79</v>
      </c>
      <c r="N1433" s="284">
        <f>VLOOKUP(3284,季財報!A:N,8,0)</f>
        <v>4</v>
      </c>
    </row>
    <row r="1434" spans="1:14">
      <c r="A1434" s="184">
        <v>3287</v>
      </c>
      <c r="C1434">
        <v>-13</v>
      </c>
      <c r="H1434" s="197">
        <v>0</v>
      </c>
      <c r="I1434">
        <f t="shared" si="138"/>
        <v>979</v>
      </c>
      <c r="J1434" s="190">
        <v>0</v>
      </c>
      <c r="K1434">
        <f t="shared" si="137"/>
        <v>945</v>
      </c>
      <c r="L1434" s="62">
        <f t="shared" si="139"/>
        <v>983</v>
      </c>
      <c r="M1434" s="287">
        <v>0.79</v>
      </c>
      <c r="N1434" s="284">
        <f>VLOOKUP(3287,季財報!A:N,8,0)</f>
        <v>3</v>
      </c>
    </row>
    <row r="1435" spans="1:14">
      <c r="A1435" s="184">
        <v>3288</v>
      </c>
      <c r="C1435">
        <v>-15</v>
      </c>
      <c r="H1435" s="197">
        <v>0</v>
      </c>
      <c r="I1435">
        <f t="shared" si="138"/>
        <v>979</v>
      </c>
      <c r="J1435" s="190">
        <v>0</v>
      </c>
      <c r="K1435">
        <f t="shared" si="137"/>
        <v>945</v>
      </c>
      <c r="L1435" s="62">
        <f t="shared" si="139"/>
        <v>983</v>
      </c>
      <c r="M1435" s="287">
        <v>3.37</v>
      </c>
      <c r="N1435" s="284">
        <f>VLOOKUP(3288,季財報!A:N,8,0)</f>
        <v>3</v>
      </c>
    </row>
    <row r="1436" spans="1:14">
      <c r="A1436" s="184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197">
        <v>0</v>
      </c>
      <c r="I1436">
        <f t="shared" si="138"/>
        <v>979</v>
      </c>
      <c r="J1436" s="190">
        <v>0</v>
      </c>
      <c r="K1436">
        <f t="shared" si="137"/>
        <v>945</v>
      </c>
      <c r="L1436" s="62">
        <f t="shared" si="139"/>
        <v>983</v>
      </c>
      <c r="M1436" s="287">
        <v>0.79</v>
      </c>
      <c r="N1436" s="284">
        <f>VLOOKUP(3291,季財報!A:N,8,0)</f>
        <v>3</v>
      </c>
    </row>
    <row r="1437" spans="1:14">
      <c r="A1437" s="184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197">
        <v>0</v>
      </c>
      <c r="I1437">
        <f t="shared" si="138"/>
        <v>979</v>
      </c>
      <c r="J1437" s="190">
        <v>0</v>
      </c>
      <c r="K1437">
        <f t="shared" si="137"/>
        <v>945</v>
      </c>
      <c r="L1437" s="62">
        <f t="shared" si="139"/>
        <v>983</v>
      </c>
      <c r="M1437" s="287">
        <v>1.36</v>
      </c>
      <c r="N1437" s="284">
        <f>VLOOKUP(3297,季財報!A:N,8,0)</f>
        <v>1</v>
      </c>
    </row>
    <row r="1438" spans="1:14">
      <c r="A1438" s="184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197">
        <v>0</v>
      </c>
      <c r="I1438">
        <f t="shared" si="138"/>
        <v>979</v>
      </c>
      <c r="J1438" s="190">
        <v>0</v>
      </c>
      <c r="K1438">
        <f t="shared" si="137"/>
        <v>945</v>
      </c>
      <c r="L1438" s="62">
        <f t="shared" si="139"/>
        <v>983</v>
      </c>
      <c r="M1438" s="287">
        <v>0.79</v>
      </c>
      <c r="N1438" s="284">
        <f>VLOOKUP(3308,季財報!A:N,8,0)</f>
        <v>2</v>
      </c>
    </row>
    <row r="1439" spans="1:14">
      <c r="A1439" s="184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197">
        <v>0</v>
      </c>
      <c r="I1439">
        <f t="shared" si="138"/>
        <v>979</v>
      </c>
      <c r="J1439" s="190">
        <v>0</v>
      </c>
      <c r="K1439">
        <f t="shared" si="137"/>
        <v>945</v>
      </c>
      <c r="L1439" s="62">
        <f t="shared" si="139"/>
        <v>983</v>
      </c>
      <c r="M1439" s="287">
        <v>0.79</v>
      </c>
      <c r="N1439" s="284">
        <f>VLOOKUP(3311,季財報!A:N,8,0)</f>
        <v>4</v>
      </c>
    </row>
    <row r="1440" spans="1:14">
      <c r="A1440" s="184">
        <v>3312</v>
      </c>
      <c r="C1440">
        <v>-53</v>
      </c>
      <c r="H1440" s="197">
        <v>0</v>
      </c>
      <c r="I1440">
        <f t="shared" si="138"/>
        <v>979</v>
      </c>
      <c r="J1440" s="190">
        <v>0</v>
      </c>
      <c r="K1440">
        <f t="shared" si="137"/>
        <v>945</v>
      </c>
      <c r="L1440" s="62">
        <f t="shared" si="139"/>
        <v>983</v>
      </c>
      <c r="M1440" s="287">
        <v>0.79</v>
      </c>
      <c r="N1440" s="284">
        <f>VLOOKUP(3312,季財報!A:N,8,0)</f>
        <v>3</v>
      </c>
    </row>
    <row r="1441" spans="1:14">
      <c r="A1441" s="184">
        <v>3313</v>
      </c>
      <c r="C1441">
        <v>-48</v>
      </c>
      <c r="H1441" s="197">
        <v>0</v>
      </c>
      <c r="I1441">
        <f t="shared" si="138"/>
        <v>979</v>
      </c>
      <c r="J1441" s="190">
        <v>0</v>
      </c>
      <c r="K1441">
        <f t="shared" si="137"/>
        <v>945</v>
      </c>
      <c r="L1441" s="62">
        <f t="shared" si="139"/>
        <v>983</v>
      </c>
      <c r="M1441" s="287">
        <v>0.79</v>
      </c>
      <c r="N1441" s="284">
        <f>VLOOKUP(3313,季財報!A:N,8,0)</f>
        <v>4</v>
      </c>
    </row>
    <row r="1442" spans="1:14">
      <c r="A1442" s="184">
        <v>3317</v>
      </c>
      <c r="C1442">
        <v>-15</v>
      </c>
      <c r="H1442" s="197">
        <v>0</v>
      </c>
      <c r="I1442">
        <f t="shared" si="138"/>
        <v>979</v>
      </c>
      <c r="J1442" s="190">
        <v>0</v>
      </c>
      <c r="K1442">
        <f t="shared" si="137"/>
        <v>945</v>
      </c>
      <c r="L1442" s="62">
        <f t="shared" si="139"/>
        <v>983</v>
      </c>
      <c r="M1442" s="287">
        <v>9.26</v>
      </c>
      <c r="N1442" s="284">
        <f>VLOOKUP(3317,季財報!A:N,8,0)</f>
        <v>4</v>
      </c>
    </row>
    <row r="1443" spans="1:14">
      <c r="A1443" s="184">
        <v>3322</v>
      </c>
      <c r="C1443">
        <v>-24</v>
      </c>
      <c r="H1443" s="197">
        <v>0</v>
      </c>
      <c r="I1443">
        <f t="shared" si="138"/>
        <v>979</v>
      </c>
      <c r="J1443" s="190">
        <v>0</v>
      </c>
      <c r="K1443">
        <f t="shared" si="137"/>
        <v>945</v>
      </c>
      <c r="L1443" s="62">
        <f t="shared" si="139"/>
        <v>983</v>
      </c>
      <c r="M1443" s="287">
        <v>1.36</v>
      </c>
      <c r="N1443" s="284">
        <f>VLOOKUP(3322,季財報!A:N,8,0)</f>
        <v>1</v>
      </c>
    </row>
    <row r="1444" spans="1:14">
      <c r="A1444" s="184">
        <v>3325</v>
      </c>
      <c r="C1444">
        <v>-7</v>
      </c>
      <c r="H1444" s="197">
        <v>0</v>
      </c>
      <c r="I1444">
        <f t="shared" si="138"/>
        <v>979</v>
      </c>
      <c r="J1444" s="190">
        <v>0</v>
      </c>
      <c r="K1444">
        <f t="shared" si="137"/>
        <v>945</v>
      </c>
      <c r="L1444" s="62">
        <f t="shared" si="139"/>
        <v>983</v>
      </c>
      <c r="M1444" s="287">
        <v>0.79</v>
      </c>
      <c r="N1444" s="284">
        <f>VLOOKUP(3325,季財報!A:N,8,0)</f>
        <v>3</v>
      </c>
    </row>
    <row r="1445" spans="1:14">
      <c r="A1445" s="184">
        <v>3339</v>
      </c>
      <c r="C1445">
        <v>-229</v>
      </c>
      <c r="H1445" s="197">
        <v>0</v>
      </c>
      <c r="I1445">
        <f t="shared" si="138"/>
        <v>979</v>
      </c>
      <c r="J1445" s="190">
        <v>0</v>
      </c>
      <c r="K1445">
        <f t="shared" si="137"/>
        <v>945</v>
      </c>
      <c r="L1445" s="62">
        <f t="shared" si="139"/>
        <v>983</v>
      </c>
      <c r="M1445" s="287">
        <v>4.05</v>
      </c>
      <c r="N1445" s="284">
        <f>VLOOKUP(3339,季財報!A:N,8,0)</f>
        <v>2</v>
      </c>
    </row>
    <row r="1446" spans="1:14">
      <c r="A1446" s="184">
        <v>3362</v>
      </c>
      <c r="C1446">
        <v>-26</v>
      </c>
      <c r="H1446" s="197">
        <v>0</v>
      </c>
      <c r="I1446">
        <f t="shared" si="138"/>
        <v>979</v>
      </c>
      <c r="J1446" s="190">
        <v>0</v>
      </c>
      <c r="K1446">
        <f t="shared" si="137"/>
        <v>945</v>
      </c>
      <c r="L1446" s="62">
        <f t="shared" si="139"/>
        <v>983</v>
      </c>
      <c r="M1446" s="287">
        <v>1.36</v>
      </c>
      <c r="N1446" s="284">
        <f>VLOOKUP(3362,季財報!A:N,8,0)</f>
        <v>3</v>
      </c>
    </row>
    <row r="1447" spans="1:14">
      <c r="A1447" s="184">
        <v>3363</v>
      </c>
      <c r="C1447">
        <v>-23</v>
      </c>
      <c r="H1447" s="197">
        <v>0</v>
      </c>
      <c r="I1447">
        <f t="shared" si="138"/>
        <v>979</v>
      </c>
      <c r="J1447" s="190">
        <v>0</v>
      </c>
      <c r="K1447">
        <f t="shared" si="137"/>
        <v>945</v>
      </c>
      <c r="L1447" s="62">
        <f t="shared" si="139"/>
        <v>983</v>
      </c>
      <c r="M1447" s="287">
        <v>0.79</v>
      </c>
      <c r="N1447" s="284">
        <f>VLOOKUP(3363,季財報!A:N,8,0)</f>
        <v>3</v>
      </c>
    </row>
    <row r="1448" spans="1:14">
      <c r="A1448" s="184">
        <v>3372</v>
      </c>
      <c r="C1448">
        <v>-82</v>
      </c>
      <c r="H1448" s="197">
        <v>0</v>
      </c>
      <c r="I1448">
        <f t="shared" si="138"/>
        <v>979</v>
      </c>
      <c r="J1448" s="190">
        <v>0</v>
      </c>
      <c r="K1448">
        <f t="shared" si="137"/>
        <v>945</v>
      </c>
      <c r="L1448" s="62">
        <f t="shared" si="139"/>
        <v>983</v>
      </c>
      <c r="M1448" s="287">
        <v>0.79</v>
      </c>
      <c r="N1448" s="284">
        <f>VLOOKUP(3372,季財報!A:N,8,0)</f>
        <v>4</v>
      </c>
    </row>
    <row r="1449" spans="1:14">
      <c r="A1449" s="184">
        <v>3374</v>
      </c>
      <c r="C1449">
        <v>-13</v>
      </c>
      <c r="H1449" s="197">
        <v>0</v>
      </c>
      <c r="I1449">
        <f t="shared" si="138"/>
        <v>979</v>
      </c>
      <c r="J1449" s="190">
        <v>0</v>
      </c>
      <c r="K1449">
        <f t="shared" si="137"/>
        <v>945</v>
      </c>
      <c r="L1449" s="62">
        <f t="shared" si="139"/>
        <v>983</v>
      </c>
      <c r="M1449" s="287">
        <v>0.79</v>
      </c>
      <c r="N1449" s="284">
        <f>VLOOKUP(3374,季財報!A:N,8,0)</f>
        <v>0</v>
      </c>
    </row>
    <row r="1450" spans="1:14">
      <c r="A1450" s="184">
        <v>3379</v>
      </c>
      <c r="C1450">
        <v>-26</v>
      </c>
      <c r="H1450" s="197">
        <v>0</v>
      </c>
      <c r="I1450">
        <f t="shared" si="138"/>
        <v>979</v>
      </c>
      <c r="J1450" s="190">
        <v>0</v>
      </c>
      <c r="K1450">
        <f t="shared" si="137"/>
        <v>945</v>
      </c>
      <c r="L1450" s="62">
        <f t="shared" si="139"/>
        <v>983</v>
      </c>
      <c r="M1450" s="287">
        <v>0.79</v>
      </c>
      <c r="N1450" s="284">
        <f>VLOOKUP(3379,季財報!A:N,8,0)</f>
        <v>2</v>
      </c>
    </row>
    <row r="1451" spans="1:14">
      <c r="A1451" s="184">
        <v>3380</v>
      </c>
      <c r="C1451">
        <v>-16</v>
      </c>
      <c r="H1451" s="197">
        <v>0</v>
      </c>
      <c r="I1451">
        <f t="shared" si="138"/>
        <v>979</v>
      </c>
      <c r="J1451" s="190">
        <v>0</v>
      </c>
      <c r="K1451">
        <f t="shared" si="137"/>
        <v>945</v>
      </c>
      <c r="L1451" s="62">
        <f t="shared" si="139"/>
        <v>983</v>
      </c>
      <c r="M1451" s="287">
        <v>0.79</v>
      </c>
      <c r="N1451" s="284">
        <f>VLOOKUP(3380,季財報!A:N,8,0)</f>
        <v>0</v>
      </c>
    </row>
    <row r="1452" spans="1:14">
      <c r="A1452" s="184">
        <v>3383</v>
      </c>
      <c r="C1452">
        <v>-413</v>
      </c>
      <c r="H1452" s="197">
        <v>0</v>
      </c>
      <c r="I1452">
        <f t="shared" si="138"/>
        <v>979</v>
      </c>
      <c r="J1452" s="190">
        <v>0</v>
      </c>
      <c r="K1452">
        <f t="shared" si="137"/>
        <v>945</v>
      </c>
      <c r="L1452" s="62">
        <f t="shared" si="139"/>
        <v>983</v>
      </c>
      <c r="M1452" s="287">
        <v>0.79</v>
      </c>
      <c r="N1452" s="284">
        <f>VLOOKUP(3383,季財報!A:N,8,0)</f>
        <v>1</v>
      </c>
    </row>
    <row r="1453" spans="1:14">
      <c r="A1453" s="184">
        <v>3390</v>
      </c>
      <c r="C1453">
        <v>-19</v>
      </c>
      <c r="H1453" s="197">
        <v>0</v>
      </c>
      <c r="I1453">
        <f t="shared" si="138"/>
        <v>979</v>
      </c>
      <c r="J1453" s="190">
        <v>0</v>
      </c>
      <c r="K1453">
        <f t="shared" si="137"/>
        <v>945</v>
      </c>
      <c r="L1453" s="62">
        <f t="shared" si="139"/>
        <v>983</v>
      </c>
      <c r="M1453" s="287">
        <v>1.36</v>
      </c>
      <c r="N1453" s="284">
        <f>VLOOKUP(3390,季財報!A:N,8,0)</f>
        <v>2</v>
      </c>
    </row>
    <row r="1454" spans="1:14">
      <c r="A1454" s="184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197">
        <v>0</v>
      </c>
      <c r="I1454">
        <f t="shared" si="138"/>
        <v>979</v>
      </c>
      <c r="J1454" s="190">
        <v>0</v>
      </c>
      <c r="K1454">
        <f t="shared" si="137"/>
        <v>945</v>
      </c>
      <c r="L1454" s="62">
        <f t="shared" si="139"/>
        <v>983</v>
      </c>
      <c r="M1454" s="287">
        <v>1.58</v>
      </c>
      <c r="N1454" s="284">
        <f>VLOOKUP(3406,季財報!A:N,8,0)</f>
        <v>2</v>
      </c>
    </row>
    <row r="1455" spans="1:14">
      <c r="A1455" s="184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197">
        <v>0</v>
      </c>
      <c r="I1455">
        <f t="shared" si="138"/>
        <v>979</v>
      </c>
      <c r="J1455" s="190">
        <v>0</v>
      </c>
      <c r="K1455">
        <f t="shared" si="137"/>
        <v>945</v>
      </c>
      <c r="L1455" s="62">
        <f t="shared" si="139"/>
        <v>983</v>
      </c>
      <c r="M1455" s="287">
        <v>0.79</v>
      </c>
      <c r="N1455" s="284">
        <f>VLOOKUP(3419,季財報!A:N,8,0)</f>
        <v>5</v>
      </c>
    </row>
    <row r="1456" spans="1:14">
      <c r="A1456" s="184">
        <v>3431</v>
      </c>
      <c r="C1456">
        <v>-23</v>
      </c>
      <c r="H1456" s="197">
        <v>0</v>
      </c>
      <c r="I1456">
        <f t="shared" si="138"/>
        <v>979</v>
      </c>
      <c r="J1456" s="190">
        <v>0</v>
      </c>
      <c r="K1456">
        <f t="shared" si="137"/>
        <v>945</v>
      </c>
      <c r="L1456" s="62">
        <f t="shared" si="139"/>
        <v>983</v>
      </c>
      <c r="M1456" s="287">
        <v>0.79</v>
      </c>
      <c r="N1456" s="284">
        <f>VLOOKUP(3431,季財報!A:N,8,0)</f>
        <v>0</v>
      </c>
    </row>
    <row r="1457" spans="1:14">
      <c r="A1457" s="184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197">
        <v>0</v>
      </c>
      <c r="I1457">
        <f t="shared" si="138"/>
        <v>979</v>
      </c>
      <c r="J1457" s="190">
        <v>0</v>
      </c>
      <c r="K1457">
        <f t="shared" si="137"/>
        <v>945</v>
      </c>
      <c r="L1457" s="62">
        <f t="shared" si="139"/>
        <v>983</v>
      </c>
      <c r="M1457" s="287">
        <v>1.36</v>
      </c>
      <c r="N1457" s="284">
        <f>VLOOKUP(3432,季財報!A:N,8,0)</f>
        <v>1</v>
      </c>
    </row>
    <row r="1458" spans="1:14">
      <c r="A1458" s="184">
        <v>3438</v>
      </c>
      <c r="C1458">
        <v>-20</v>
      </c>
      <c r="H1458" s="197">
        <v>0</v>
      </c>
      <c r="I1458">
        <f t="shared" si="138"/>
        <v>979</v>
      </c>
      <c r="J1458" s="190">
        <v>0</v>
      </c>
      <c r="K1458">
        <f t="shared" si="137"/>
        <v>945</v>
      </c>
      <c r="L1458" s="62">
        <f t="shared" si="139"/>
        <v>983</v>
      </c>
      <c r="M1458" s="287">
        <v>0.79</v>
      </c>
      <c r="N1458" s="284">
        <f>VLOOKUP(3438,季財報!A:N,8,0)</f>
        <v>0</v>
      </c>
    </row>
    <row r="1459" spans="1:14">
      <c r="A1459" s="184">
        <v>3441</v>
      </c>
      <c r="C1459">
        <v>-1</v>
      </c>
      <c r="H1459" s="197">
        <v>0</v>
      </c>
      <c r="I1459">
        <f t="shared" si="138"/>
        <v>979</v>
      </c>
      <c r="J1459" s="190">
        <v>0</v>
      </c>
      <c r="K1459">
        <f t="shared" si="137"/>
        <v>945</v>
      </c>
      <c r="L1459" s="62">
        <f t="shared" si="139"/>
        <v>983</v>
      </c>
      <c r="M1459" s="287">
        <v>0.79</v>
      </c>
      <c r="N1459" s="284">
        <f>VLOOKUP(3441,季財報!A:N,8,0)</f>
        <v>2</v>
      </c>
    </row>
    <row r="1460" spans="1:14">
      <c r="A1460" s="184">
        <v>3452</v>
      </c>
      <c r="C1460">
        <v>-215</v>
      </c>
      <c r="H1460" s="197">
        <v>0</v>
      </c>
      <c r="I1460">
        <f t="shared" si="138"/>
        <v>979</v>
      </c>
      <c r="J1460" s="190">
        <v>0</v>
      </c>
      <c r="K1460">
        <f t="shared" si="137"/>
        <v>945</v>
      </c>
      <c r="L1460" s="62">
        <f t="shared" si="139"/>
        <v>983</v>
      </c>
      <c r="M1460" s="287">
        <v>7.07</v>
      </c>
      <c r="N1460" s="284">
        <f>VLOOKUP(3452,季財報!A:N,8,0)</f>
        <v>4</v>
      </c>
    </row>
    <row r="1461" spans="1:14">
      <c r="A1461" s="184">
        <v>3465</v>
      </c>
      <c r="C1461">
        <v>-24</v>
      </c>
      <c r="H1461" s="197">
        <v>0</v>
      </c>
      <c r="I1461">
        <f t="shared" si="138"/>
        <v>979</v>
      </c>
      <c r="J1461" s="190">
        <v>0</v>
      </c>
      <c r="K1461">
        <f t="shared" si="137"/>
        <v>945</v>
      </c>
      <c r="L1461" s="62">
        <f t="shared" si="139"/>
        <v>983</v>
      </c>
      <c r="M1461" s="287">
        <v>0.79</v>
      </c>
      <c r="N1461" s="284">
        <f>VLOOKUP(3465,季財報!A:N,8,0)</f>
        <v>0</v>
      </c>
    </row>
    <row r="1462" spans="1:14">
      <c r="A1462" s="184">
        <v>3466</v>
      </c>
      <c r="C1462">
        <v>-17</v>
      </c>
      <c r="H1462" s="197">
        <v>0</v>
      </c>
      <c r="I1462">
        <f t="shared" si="138"/>
        <v>979</v>
      </c>
      <c r="J1462" s="190">
        <v>0</v>
      </c>
      <c r="K1462">
        <f t="shared" si="137"/>
        <v>945</v>
      </c>
      <c r="L1462" s="62">
        <f t="shared" si="139"/>
        <v>983</v>
      </c>
      <c r="M1462" s="287">
        <v>0.79</v>
      </c>
      <c r="N1462" s="284">
        <f>VLOOKUP(3466,季財報!A:N,8,0)</f>
        <v>2</v>
      </c>
    </row>
    <row r="1463" spans="1:14">
      <c r="A1463" s="184">
        <v>3483</v>
      </c>
      <c r="C1463">
        <v>-26</v>
      </c>
      <c r="H1463" s="197">
        <v>0</v>
      </c>
      <c r="I1463">
        <f t="shared" si="138"/>
        <v>979</v>
      </c>
      <c r="J1463" s="190">
        <v>0</v>
      </c>
      <c r="K1463">
        <f t="shared" si="137"/>
        <v>945</v>
      </c>
      <c r="L1463" s="62">
        <f t="shared" si="139"/>
        <v>983</v>
      </c>
      <c r="M1463" s="287">
        <v>0.79</v>
      </c>
      <c r="N1463" s="284">
        <f>VLOOKUP(3483,季財報!A:N,8,0)</f>
        <v>3</v>
      </c>
    </row>
    <row r="1464" spans="1:14">
      <c r="A1464" s="184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197">
        <v>0</v>
      </c>
      <c r="I1464">
        <f t="shared" si="138"/>
        <v>979</v>
      </c>
      <c r="J1464" s="190">
        <v>0</v>
      </c>
      <c r="K1464">
        <f t="shared" ref="K1464:K1519" si="140">RANK(0,J:J,0)</f>
        <v>945</v>
      </c>
      <c r="L1464" s="62">
        <f t="shared" si="139"/>
        <v>983</v>
      </c>
      <c r="M1464" s="287">
        <v>0.79</v>
      </c>
      <c r="N1464" s="284">
        <f>VLOOKUP(3494,季財報!A:N,8,0)</f>
        <v>0</v>
      </c>
    </row>
    <row r="1465" spans="1:14">
      <c r="A1465" s="184">
        <v>3508</v>
      </c>
      <c r="C1465">
        <v>-70</v>
      </c>
      <c r="H1465" s="197">
        <v>0</v>
      </c>
      <c r="I1465">
        <f t="shared" si="138"/>
        <v>979</v>
      </c>
      <c r="J1465" s="190">
        <v>0</v>
      </c>
      <c r="K1465">
        <f t="shared" si="140"/>
        <v>945</v>
      </c>
      <c r="L1465" s="62">
        <f t="shared" si="139"/>
        <v>983</v>
      </c>
      <c r="M1465" s="287">
        <v>0.79</v>
      </c>
      <c r="N1465" s="284">
        <f>VLOOKUP(3508,季財報!A:N,8,0)</f>
        <v>3</v>
      </c>
    </row>
    <row r="1466" spans="1:14">
      <c r="A1466" s="184">
        <v>3516</v>
      </c>
      <c r="C1466">
        <v>-37</v>
      </c>
      <c r="H1466" s="197">
        <v>0</v>
      </c>
      <c r="I1466">
        <f t="shared" si="138"/>
        <v>979</v>
      </c>
      <c r="J1466" s="190">
        <v>0</v>
      </c>
      <c r="K1466">
        <f t="shared" si="140"/>
        <v>945</v>
      </c>
      <c r="L1466" s="62">
        <f t="shared" si="139"/>
        <v>983</v>
      </c>
      <c r="M1466" s="287">
        <v>0.79</v>
      </c>
      <c r="N1466" s="284">
        <f>VLOOKUP(3516,季財報!A:N,8,0)</f>
        <v>1</v>
      </c>
    </row>
    <row r="1467" spans="1:14">
      <c r="A1467" s="184">
        <v>3518</v>
      </c>
      <c r="C1467">
        <v>-46</v>
      </c>
      <c r="H1467" s="197">
        <v>0</v>
      </c>
      <c r="I1467">
        <f t="shared" si="138"/>
        <v>979</v>
      </c>
      <c r="J1467" s="190">
        <v>0</v>
      </c>
      <c r="K1467">
        <f t="shared" si="140"/>
        <v>945</v>
      </c>
      <c r="L1467" s="62">
        <f t="shared" si="139"/>
        <v>983</v>
      </c>
      <c r="M1467" s="287">
        <v>0.79</v>
      </c>
      <c r="N1467" s="284">
        <f>VLOOKUP(3518,季財報!A:N,8,0)</f>
        <v>1</v>
      </c>
    </row>
    <row r="1468" spans="1:14">
      <c r="A1468" s="184">
        <v>3519</v>
      </c>
      <c r="C1468">
        <v>-174</v>
      </c>
      <c r="H1468" s="197">
        <v>0</v>
      </c>
      <c r="I1468">
        <f t="shared" si="138"/>
        <v>979</v>
      </c>
      <c r="J1468" s="190">
        <v>0</v>
      </c>
      <c r="K1468">
        <f t="shared" si="140"/>
        <v>945</v>
      </c>
      <c r="L1468" s="62">
        <f t="shared" si="139"/>
        <v>983</v>
      </c>
      <c r="M1468" s="287">
        <v>0.79</v>
      </c>
      <c r="N1468" s="284">
        <f>VLOOKUP(3519,季財報!A:N,8,0)</f>
        <v>3</v>
      </c>
    </row>
    <row r="1469" spans="1:14">
      <c r="A1469" s="184">
        <v>3520</v>
      </c>
      <c r="C1469">
        <v>-3</v>
      </c>
      <c r="H1469" s="197">
        <v>0</v>
      </c>
      <c r="I1469">
        <f t="shared" si="138"/>
        <v>979</v>
      </c>
      <c r="J1469" s="190">
        <v>0</v>
      </c>
      <c r="K1469">
        <f t="shared" si="140"/>
        <v>945</v>
      </c>
      <c r="L1469" s="62">
        <f t="shared" si="139"/>
        <v>983</v>
      </c>
      <c r="M1469" s="287">
        <v>0.79</v>
      </c>
      <c r="N1469" s="284">
        <f>VLOOKUP(3520,季財報!A:N,8,0)</f>
        <v>4</v>
      </c>
    </row>
    <row r="1470" spans="1:14">
      <c r="A1470" s="184">
        <v>3522</v>
      </c>
      <c r="C1470">
        <v>-9</v>
      </c>
      <c r="H1470" s="197">
        <v>0</v>
      </c>
      <c r="I1470">
        <f t="shared" si="138"/>
        <v>979</v>
      </c>
      <c r="J1470" s="190">
        <v>0</v>
      </c>
      <c r="K1470">
        <f t="shared" si="140"/>
        <v>945</v>
      </c>
      <c r="L1470" s="62">
        <f t="shared" si="139"/>
        <v>983</v>
      </c>
      <c r="M1470" s="287">
        <v>0.79</v>
      </c>
      <c r="N1470" s="284">
        <f>VLOOKUP(3522,季財報!A:N,8,0)</f>
        <v>3</v>
      </c>
    </row>
    <row r="1471" spans="1:14">
      <c r="A1471" s="184">
        <v>3523</v>
      </c>
      <c r="C1471">
        <v>-64</v>
      </c>
      <c r="H1471" s="197">
        <v>0</v>
      </c>
      <c r="I1471">
        <f t="shared" si="138"/>
        <v>979</v>
      </c>
      <c r="J1471" s="190">
        <v>0</v>
      </c>
      <c r="K1471">
        <f t="shared" si="140"/>
        <v>945</v>
      </c>
      <c r="L1471" s="62">
        <f t="shared" si="139"/>
        <v>983</v>
      </c>
      <c r="M1471" s="287">
        <v>0.79</v>
      </c>
      <c r="N1471" s="284">
        <f>VLOOKUP(3523,季財報!A:N,8,0)</f>
        <v>1</v>
      </c>
    </row>
    <row r="1472" spans="1:14">
      <c r="A1472" s="184">
        <v>3535</v>
      </c>
      <c r="C1472">
        <v>-4</v>
      </c>
      <c r="H1472" s="197">
        <v>0</v>
      </c>
      <c r="I1472">
        <f t="shared" si="138"/>
        <v>979</v>
      </c>
      <c r="J1472" s="190">
        <v>0</v>
      </c>
      <c r="K1472">
        <f t="shared" si="140"/>
        <v>945</v>
      </c>
      <c r="L1472" s="62">
        <f t="shared" si="139"/>
        <v>983</v>
      </c>
      <c r="M1472" s="287">
        <v>0.79</v>
      </c>
      <c r="N1472" s="284">
        <f>VLOOKUP(3535,季財報!A:N,8,0)</f>
        <v>2</v>
      </c>
    </row>
    <row r="1473" spans="1:14">
      <c r="A1473" s="184">
        <v>3536</v>
      </c>
      <c r="C1473">
        <v>-14</v>
      </c>
      <c r="H1473" s="197">
        <v>0</v>
      </c>
      <c r="I1473">
        <f t="shared" si="138"/>
        <v>979</v>
      </c>
      <c r="J1473" s="190">
        <v>0</v>
      </c>
      <c r="K1473">
        <f t="shared" si="140"/>
        <v>945</v>
      </c>
      <c r="L1473" s="62">
        <f t="shared" si="139"/>
        <v>983</v>
      </c>
      <c r="M1473" s="287">
        <v>1.36</v>
      </c>
      <c r="N1473" s="284">
        <f>VLOOKUP(3536,季財報!A:N,8,0)</f>
        <v>4</v>
      </c>
    </row>
    <row r="1474" spans="1:14">
      <c r="A1474" s="184">
        <v>3545</v>
      </c>
      <c r="C1474">
        <v>-45</v>
      </c>
      <c r="H1474" s="197">
        <v>0</v>
      </c>
      <c r="I1474">
        <f t="shared" si="138"/>
        <v>979</v>
      </c>
      <c r="J1474" s="190">
        <v>0</v>
      </c>
      <c r="K1474">
        <f t="shared" si="140"/>
        <v>945</v>
      </c>
      <c r="L1474" s="62">
        <f t="shared" si="139"/>
        <v>983</v>
      </c>
      <c r="M1474" s="287">
        <v>0.79</v>
      </c>
      <c r="N1474" s="284">
        <f>VLOOKUP(3545,季財報!A:N,8,0)</f>
        <v>3</v>
      </c>
    </row>
    <row r="1475" spans="1:14">
      <c r="A1475" s="184">
        <v>3546</v>
      </c>
      <c r="C1475">
        <v>-3</v>
      </c>
      <c r="H1475" s="197">
        <v>0</v>
      </c>
      <c r="I1475">
        <f t="shared" si="138"/>
        <v>979</v>
      </c>
      <c r="J1475" s="190">
        <v>0</v>
      </c>
      <c r="K1475">
        <f t="shared" si="140"/>
        <v>945</v>
      </c>
      <c r="L1475" s="62">
        <f t="shared" si="139"/>
        <v>983</v>
      </c>
      <c r="M1475" s="287">
        <v>0.79</v>
      </c>
      <c r="N1475" s="284">
        <f>VLOOKUP(3546,季財報!A:N,8,0)</f>
        <v>3</v>
      </c>
    </row>
    <row r="1476" spans="1:14">
      <c r="A1476" s="184">
        <v>3553</v>
      </c>
      <c r="C1476">
        <v>-27</v>
      </c>
      <c r="H1476" s="197">
        <v>0</v>
      </c>
      <c r="I1476">
        <f t="shared" si="138"/>
        <v>979</v>
      </c>
      <c r="J1476" s="190">
        <v>0</v>
      </c>
      <c r="K1476">
        <f t="shared" si="140"/>
        <v>945</v>
      </c>
      <c r="L1476" s="62">
        <f t="shared" si="139"/>
        <v>983</v>
      </c>
      <c r="M1476" s="287">
        <v>0.79</v>
      </c>
      <c r="N1476" s="284">
        <f>VLOOKUP(3553,季財報!A:N,8,0)</f>
        <v>0</v>
      </c>
    </row>
    <row r="1477" spans="1:14">
      <c r="A1477" s="184">
        <v>3555</v>
      </c>
      <c r="C1477">
        <v>-67</v>
      </c>
      <c r="H1477" s="197">
        <v>0</v>
      </c>
      <c r="I1477">
        <f t="shared" si="138"/>
        <v>979</v>
      </c>
      <c r="J1477" s="190">
        <v>0</v>
      </c>
      <c r="K1477">
        <f t="shared" si="140"/>
        <v>945</v>
      </c>
      <c r="L1477" s="62">
        <f t="shared" si="139"/>
        <v>983</v>
      </c>
      <c r="M1477" s="287">
        <v>1.01</v>
      </c>
      <c r="N1477" s="284">
        <f>VLOOKUP(3555,季財報!A:N,8,0)</f>
        <v>1</v>
      </c>
    </row>
    <row r="1478" spans="1:14">
      <c r="A1478" s="184">
        <v>3557</v>
      </c>
      <c r="C1478">
        <v>-27</v>
      </c>
      <c r="H1478" s="197">
        <v>0</v>
      </c>
      <c r="I1478">
        <f t="shared" si="138"/>
        <v>979</v>
      </c>
      <c r="J1478" s="190">
        <v>0</v>
      </c>
      <c r="K1478">
        <f t="shared" si="140"/>
        <v>945</v>
      </c>
      <c r="L1478" s="62">
        <f t="shared" si="139"/>
        <v>983</v>
      </c>
      <c r="M1478" s="287">
        <v>0.79</v>
      </c>
      <c r="N1478" s="284">
        <f>VLOOKUP(3557,季財報!A:N,8,0)</f>
        <v>2</v>
      </c>
    </row>
    <row r="1479" spans="1:14">
      <c r="A1479" s="184">
        <v>3561</v>
      </c>
      <c r="C1479">
        <v>-36</v>
      </c>
      <c r="H1479" s="197">
        <v>0</v>
      </c>
      <c r="I1479">
        <f t="shared" si="138"/>
        <v>979</v>
      </c>
      <c r="J1479" s="190">
        <v>0</v>
      </c>
      <c r="K1479">
        <f t="shared" si="140"/>
        <v>945</v>
      </c>
      <c r="L1479" s="62">
        <f t="shared" si="139"/>
        <v>983</v>
      </c>
      <c r="M1479" s="287">
        <v>1.01</v>
      </c>
      <c r="N1479" s="284">
        <f>VLOOKUP(3561,季財報!A:N,8,0)</f>
        <v>4</v>
      </c>
    </row>
    <row r="1480" spans="1:14">
      <c r="A1480" s="184">
        <v>3562</v>
      </c>
      <c r="C1480">
        <v>-8</v>
      </c>
      <c r="H1480" s="197">
        <v>0</v>
      </c>
      <c r="I1480">
        <f t="shared" si="138"/>
        <v>979</v>
      </c>
      <c r="J1480" s="190">
        <v>0</v>
      </c>
      <c r="K1480">
        <f t="shared" si="140"/>
        <v>945</v>
      </c>
      <c r="L1480" s="62">
        <f t="shared" si="139"/>
        <v>983</v>
      </c>
      <c r="M1480" s="287">
        <v>7.95</v>
      </c>
      <c r="N1480" s="284">
        <f>VLOOKUP(3562,季財報!A:N,8,0)</f>
        <v>0</v>
      </c>
    </row>
    <row r="1481" spans="1:14">
      <c r="A1481" s="184">
        <v>3573</v>
      </c>
      <c r="C1481">
        <v>-85</v>
      </c>
      <c r="H1481" s="197">
        <v>0</v>
      </c>
      <c r="I1481">
        <f t="shared" si="138"/>
        <v>979</v>
      </c>
      <c r="J1481" s="190">
        <v>0</v>
      </c>
      <c r="K1481">
        <f t="shared" si="140"/>
        <v>945</v>
      </c>
      <c r="L1481" s="62">
        <f t="shared" si="139"/>
        <v>983</v>
      </c>
      <c r="M1481" s="287">
        <v>0.79</v>
      </c>
      <c r="N1481" s="284">
        <f>VLOOKUP(3573,季財報!A:N,8,0)</f>
        <v>4</v>
      </c>
    </row>
    <row r="1482" spans="1:14">
      <c r="A1482" s="184">
        <v>3576</v>
      </c>
      <c r="C1482">
        <v>-217</v>
      </c>
      <c r="H1482" s="197">
        <v>0</v>
      </c>
      <c r="I1482">
        <f t="shared" si="138"/>
        <v>979</v>
      </c>
      <c r="J1482" s="190">
        <v>0</v>
      </c>
      <c r="K1482">
        <f t="shared" si="140"/>
        <v>945</v>
      </c>
      <c r="L1482" s="62">
        <f t="shared" si="139"/>
        <v>983</v>
      </c>
      <c r="M1482" s="287">
        <v>0.79</v>
      </c>
      <c r="N1482" s="284">
        <f>VLOOKUP(3576,季財報!A:N,8,0)</f>
        <v>2</v>
      </c>
    </row>
    <row r="1483" spans="1:14">
      <c r="A1483" s="184">
        <v>3579</v>
      </c>
      <c r="C1483">
        <v>-205</v>
      </c>
      <c r="H1483" s="197">
        <v>0</v>
      </c>
      <c r="I1483">
        <f t="shared" si="138"/>
        <v>979</v>
      </c>
      <c r="J1483" s="190">
        <v>0</v>
      </c>
      <c r="K1483">
        <f t="shared" si="140"/>
        <v>945</v>
      </c>
      <c r="L1483" s="62">
        <f t="shared" si="139"/>
        <v>983</v>
      </c>
      <c r="M1483" s="287">
        <v>0.79</v>
      </c>
      <c r="N1483" s="284">
        <f>VLOOKUP(3579,季財報!A:N,8,0)</f>
        <v>3</v>
      </c>
    </row>
    <row r="1484" spans="1:14">
      <c r="A1484" s="184">
        <v>3580</v>
      </c>
      <c r="C1484">
        <v>-7</v>
      </c>
      <c r="H1484" s="197">
        <v>0</v>
      </c>
      <c r="I1484">
        <f t="shared" si="138"/>
        <v>979</v>
      </c>
      <c r="J1484" s="190">
        <v>0</v>
      </c>
      <c r="K1484">
        <f t="shared" si="140"/>
        <v>945</v>
      </c>
      <c r="L1484" s="62">
        <f t="shared" si="139"/>
        <v>983</v>
      </c>
      <c r="M1484" s="287">
        <v>0.79</v>
      </c>
      <c r="N1484" s="284">
        <f>VLOOKUP(3580,季財報!A:N,8,0)</f>
        <v>1</v>
      </c>
    </row>
    <row r="1485" spans="1:14">
      <c r="A1485" s="184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197">
        <v>0</v>
      </c>
      <c r="I1485">
        <f t="shared" si="138"/>
        <v>979</v>
      </c>
      <c r="J1485" s="190">
        <v>0</v>
      </c>
      <c r="K1485">
        <f t="shared" si="140"/>
        <v>945</v>
      </c>
      <c r="L1485" s="62">
        <f t="shared" si="139"/>
        <v>983</v>
      </c>
      <c r="M1485" s="287">
        <v>0.79</v>
      </c>
      <c r="N1485" s="284">
        <f>VLOOKUP(3581,季財報!A:N,8,0)</f>
        <v>3</v>
      </c>
    </row>
    <row r="1486" spans="1:14">
      <c r="A1486" s="184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197">
        <v>0</v>
      </c>
      <c r="I1486">
        <f t="shared" si="138"/>
        <v>979</v>
      </c>
      <c r="J1486" s="190">
        <v>0</v>
      </c>
      <c r="K1486">
        <f t="shared" si="140"/>
        <v>945</v>
      </c>
      <c r="L1486" s="62">
        <f t="shared" si="139"/>
        <v>983</v>
      </c>
      <c r="M1486" s="287">
        <v>2.76</v>
      </c>
      <c r="N1486" s="284">
        <f>VLOOKUP(3583,季財報!A:N,8,0)</f>
        <v>3</v>
      </c>
    </row>
    <row r="1487" spans="1:14">
      <c r="A1487" s="184">
        <v>3584</v>
      </c>
      <c r="C1487">
        <v>-308</v>
      </c>
      <c r="H1487" s="197">
        <v>0</v>
      </c>
      <c r="I1487">
        <f t="shared" si="138"/>
        <v>979</v>
      </c>
      <c r="J1487" s="190">
        <v>0</v>
      </c>
      <c r="K1487">
        <f t="shared" si="140"/>
        <v>945</v>
      </c>
      <c r="L1487" s="62">
        <f t="shared" si="139"/>
        <v>983</v>
      </c>
      <c r="M1487" s="287">
        <v>0.79</v>
      </c>
      <c r="N1487" s="284">
        <f>VLOOKUP(3584,季財報!A:N,8,0)</f>
        <v>0</v>
      </c>
    </row>
    <row r="1488" spans="1:14">
      <c r="A1488" s="184">
        <v>3591</v>
      </c>
      <c r="C1488">
        <v>-22</v>
      </c>
      <c r="H1488" s="197">
        <v>0</v>
      </c>
      <c r="I1488">
        <f t="shared" si="138"/>
        <v>979</v>
      </c>
      <c r="J1488" s="190">
        <v>0</v>
      </c>
      <c r="K1488">
        <f t="shared" si="140"/>
        <v>945</v>
      </c>
      <c r="L1488" s="62">
        <f t="shared" si="139"/>
        <v>983</v>
      </c>
      <c r="M1488" s="287">
        <v>0.79</v>
      </c>
      <c r="N1488" s="284">
        <f>VLOOKUP(3591,季財報!A:N,8,0)</f>
        <v>2</v>
      </c>
    </row>
    <row r="1489" spans="1:14">
      <c r="A1489" s="184">
        <v>3593</v>
      </c>
      <c r="C1489">
        <v>-27</v>
      </c>
      <c r="H1489" s="197">
        <v>0</v>
      </c>
      <c r="I1489">
        <f t="shared" si="138"/>
        <v>979</v>
      </c>
      <c r="J1489" s="190">
        <v>0</v>
      </c>
      <c r="K1489">
        <f t="shared" si="140"/>
        <v>945</v>
      </c>
      <c r="L1489" s="62">
        <f t="shared" si="139"/>
        <v>983</v>
      </c>
      <c r="M1489" s="287">
        <v>0.79</v>
      </c>
      <c r="N1489" s="284">
        <f>VLOOKUP(3593,季財報!A:N,8,0)</f>
        <v>3</v>
      </c>
    </row>
    <row r="1490" spans="1:14">
      <c r="A1490" s="184">
        <v>3594</v>
      </c>
      <c r="C1490">
        <v>-31</v>
      </c>
      <c r="H1490" s="197">
        <v>0</v>
      </c>
      <c r="I1490">
        <f t="shared" si="138"/>
        <v>979</v>
      </c>
      <c r="J1490" s="190">
        <v>0</v>
      </c>
      <c r="K1490">
        <f t="shared" si="140"/>
        <v>945</v>
      </c>
      <c r="L1490" s="62">
        <f t="shared" si="139"/>
        <v>983</v>
      </c>
      <c r="M1490" s="287">
        <v>0.79</v>
      </c>
      <c r="N1490" s="284">
        <f>VLOOKUP(3594,季財報!A:N,8,0)</f>
        <v>0</v>
      </c>
    </row>
    <row r="1491" spans="1:14">
      <c r="A1491" s="184">
        <v>3609</v>
      </c>
      <c r="C1491">
        <v>-8</v>
      </c>
      <c r="H1491" s="197">
        <v>0</v>
      </c>
      <c r="I1491">
        <f t="shared" si="138"/>
        <v>979</v>
      </c>
      <c r="J1491" s="190">
        <v>0</v>
      </c>
      <c r="K1491">
        <f t="shared" si="140"/>
        <v>945</v>
      </c>
      <c r="L1491" s="62">
        <f t="shared" si="139"/>
        <v>983</v>
      </c>
      <c r="M1491" s="287">
        <v>0.79</v>
      </c>
      <c r="N1491" s="284">
        <f>VLOOKUP(3609,季財報!A:N,8,0)</f>
        <v>3</v>
      </c>
    </row>
    <row r="1492" spans="1:14">
      <c r="A1492" s="184">
        <v>3622</v>
      </c>
      <c r="C1492">
        <v>-233</v>
      </c>
      <c r="H1492" s="197">
        <v>0</v>
      </c>
      <c r="I1492">
        <f t="shared" si="138"/>
        <v>979</v>
      </c>
      <c r="J1492" s="190">
        <v>0</v>
      </c>
      <c r="K1492">
        <f t="shared" si="140"/>
        <v>945</v>
      </c>
      <c r="L1492" s="62">
        <f t="shared" si="139"/>
        <v>983</v>
      </c>
      <c r="M1492" s="287">
        <v>0.79</v>
      </c>
      <c r="N1492" s="284">
        <f>VLOOKUP(3622,季財報!A:N,8,0)</f>
        <v>2</v>
      </c>
    </row>
    <row r="1493" spans="1:14">
      <c r="A1493" s="184">
        <v>3625</v>
      </c>
      <c r="C1493">
        <v>-5</v>
      </c>
      <c r="H1493" s="197">
        <v>0</v>
      </c>
      <c r="I1493">
        <f t="shared" si="138"/>
        <v>979</v>
      </c>
      <c r="J1493" s="190">
        <v>0</v>
      </c>
      <c r="K1493">
        <f t="shared" si="140"/>
        <v>945</v>
      </c>
      <c r="L1493" s="62">
        <f t="shared" si="139"/>
        <v>983</v>
      </c>
      <c r="M1493" s="287">
        <v>0.79</v>
      </c>
      <c r="N1493" s="284">
        <f>VLOOKUP(3625,季財報!A:N,8,0)</f>
        <v>2</v>
      </c>
    </row>
    <row r="1494" spans="1:14">
      <c r="A1494" s="184">
        <v>3629</v>
      </c>
      <c r="C1494">
        <v>-20</v>
      </c>
      <c r="H1494" s="197">
        <v>0</v>
      </c>
      <c r="I1494">
        <f t="shared" si="138"/>
        <v>979</v>
      </c>
      <c r="J1494" s="190">
        <v>0</v>
      </c>
      <c r="K1494">
        <f t="shared" si="140"/>
        <v>945</v>
      </c>
      <c r="L1494" s="62">
        <f t="shared" si="139"/>
        <v>983</v>
      </c>
      <c r="M1494" s="287">
        <v>0.79</v>
      </c>
      <c r="N1494" s="284">
        <f>VLOOKUP(3629,季財報!A:N,8,0)</f>
        <v>2</v>
      </c>
    </row>
    <row r="1495" spans="1:14">
      <c r="A1495" s="184">
        <v>3630</v>
      </c>
      <c r="C1495">
        <v>-178</v>
      </c>
      <c r="H1495" s="197">
        <v>0</v>
      </c>
      <c r="I1495">
        <f t="shared" si="138"/>
        <v>979</v>
      </c>
      <c r="J1495" s="190">
        <v>0</v>
      </c>
      <c r="K1495">
        <f t="shared" si="140"/>
        <v>945</v>
      </c>
      <c r="L1495" s="62">
        <f t="shared" si="139"/>
        <v>983</v>
      </c>
      <c r="M1495" s="287">
        <v>20.25</v>
      </c>
      <c r="N1495" s="284">
        <f>VLOOKUP(3630,季財報!A:N,8,0)</f>
        <v>1</v>
      </c>
    </row>
    <row r="1496" spans="1:14">
      <c r="A1496" s="184">
        <v>3631</v>
      </c>
      <c r="C1496">
        <v>0</v>
      </c>
      <c r="H1496" s="197">
        <v>0</v>
      </c>
      <c r="I1496">
        <f t="shared" ref="I1496:I1519" si="141">RANK(0,H:H,0)</f>
        <v>979</v>
      </c>
      <c r="J1496" s="190">
        <v>0</v>
      </c>
      <c r="K1496">
        <f t="shared" si="140"/>
        <v>945</v>
      </c>
      <c r="L1496" s="62">
        <f t="shared" ref="L1496:L1519" si="142">RANK(0.79,M:M,0)</f>
        <v>983</v>
      </c>
      <c r="M1496" s="287">
        <v>0.79</v>
      </c>
      <c r="N1496" s="284">
        <f>VLOOKUP(3631,季財報!A:N,8,0)</f>
        <v>2</v>
      </c>
    </row>
    <row r="1497" spans="1:14">
      <c r="A1497" s="184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197">
        <v>0</v>
      </c>
      <c r="I1497">
        <f t="shared" si="141"/>
        <v>979</v>
      </c>
      <c r="J1497" s="190">
        <v>0</v>
      </c>
      <c r="K1497">
        <f t="shared" si="140"/>
        <v>945</v>
      </c>
      <c r="L1497" s="62">
        <f t="shared" si="142"/>
        <v>983</v>
      </c>
      <c r="M1497" s="287">
        <v>0.79</v>
      </c>
      <c r="N1497" s="284">
        <f>VLOOKUP(3646,季財報!A:N,8,0)</f>
        <v>3</v>
      </c>
    </row>
    <row r="1498" spans="1:14">
      <c r="A1498" s="184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197">
        <v>0</v>
      </c>
      <c r="I1498">
        <f t="shared" si="141"/>
        <v>979</v>
      </c>
      <c r="J1498" s="190">
        <v>0</v>
      </c>
      <c r="K1498">
        <f t="shared" si="140"/>
        <v>945</v>
      </c>
      <c r="L1498" s="62">
        <f t="shared" si="142"/>
        <v>983</v>
      </c>
      <c r="M1498" s="287">
        <v>3.27</v>
      </c>
      <c r="N1498" s="284">
        <f>VLOOKUP(3652,季財報!A:N,8,0)</f>
        <v>1</v>
      </c>
    </row>
    <row r="1499" spans="1:14">
      <c r="A1499" s="184">
        <v>3663</v>
      </c>
      <c r="C1499">
        <v>-100</v>
      </c>
      <c r="H1499" s="197">
        <v>0</v>
      </c>
      <c r="I1499">
        <f t="shared" si="141"/>
        <v>979</v>
      </c>
      <c r="J1499" s="190">
        <v>0</v>
      </c>
      <c r="K1499">
        <f t="shared" si="140"/>
        <v>945</v>
      </c>
      <c r="L1499" s="62">
        <f t="shared" si="142"/>
        <v>983</v>
      </c>
      <c r="M1499" s="287">
        <v>0.79</v>
      </c>
      <c r="N1499" s="284">
        <f>VLOOKUP(3663,季財報!A:N,8,0)</f>
        <v>1</v>
      </c>
    </row>
    <row r="1500" spans="1:14">
      <c r="A1500" s="184">
        <v>3664</v>
      </c>
      <c r="C1500">
        <v>-53</v>
      </c>
      <c r="H1500" s="197">
        <v>0</v>
      </c>
      <c r="I1500">
        <f t="shared" si="141"/>
        <v>979</v>
      </c>
      <c r="J1500" s="190">
        <v>0</v>
      </c>
      <c r="K1500">
        <f t="shared" si="140"/>
        <v>945</v>
      </c>
      <c r="L1500" s="62">
        <f t="shared" si="142"/>
        <v>983</v>
      </c>
      <c r="M1500" s="287">
        <v>0.79</v>
      </c>
      <c r="N1500" s="284">
        <f>VLOOKUP(3664,季財報!A:N,8,0)</f>
        <v>2</v>
      </c>
    </row>
    <row r="1501" spans="1:14">
      <c r="A1501" s="184">
        <v>3666</v>
      </c>
      <c r="C1501">
        <v>-7</v>
      </c>
      <c r="H1501" s="197">
        <v>0</v>
      </c>
      <c r="I1501">
        <f t="shared" si="141"/>
        <v>979</v>
      </c>
      <c r="J1501" s="190">
        <v>0</v>
      </c>
      <c r="K1501">
        <f t="shared" si="140"/>
        <v>945</v>
      </c>
      <c r="L1501" s="62">
        <f t="shared" si="142"/>
        <v>983</v>
      </c>
      <c r="M1501" s="287">
        <v>0.79</v>
      </c>
      <c r="N1501" s="284">
        <f>VLOOKUP(3666,季財報!A:N,8,0)</f>
        <v>2</v>
      </c>
    </row>
    <row r="1502" spans="1:14">
      <c r="A1502" s="184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197">
        <v>0</v>
      </c>
      <c r="I1502">
        <f t="shared" si="141"/>
        <v>979</v>
      </c>
      <c r="J1502" s="190">
        <v>0</v>
      </c>
      <c r="K1502">
        <f t="shared" si="140"/>
        <v>945</v>
      </c>
      <c r="L1502" s="62">
        <f t="shared" si="142"/>
        <v>983</v>
      </c>
      <c r="M1502" s="287">
        <v>0.79</v>
      </c>
      <c r="N1502" s="284">
        <f>VLOOKUP(3669,季財報!A:N,8,0)</f>
        <v>4</v>
      </c>
    </row>
    <row r="1503" spans="1:14">
      <c r="A1503" s="184">
        <v>3673</v>
      </c>
      <c r="C1503">
        <v>-17368</v>
      </c>
      <c r="H1503" s="197">
        <v>0</v>
      </c>
      <c r="I1503">
        <f t="shared" si="141"/>
        <v>979</v>
      </c>
      <c r="J1503" s="190">
        <v>0</v>
      </c>
      <c r="K1503">
        <f t="shared" si="140"/>
        <v>945</v>
      </c>
      <c r="L1503" s="62">
        <f t="shared" si="142"/>
        <v>983</v>
      </c>
      <c r="M1503" s="287">
        <v>0.79</v>
      </c>
      <c r="N1503" s="284">
        <f>VLOOKUP(3673,季財報!A:N,8,0)</f>
        <v>3</v>
      </c>
    </row>
    <row r="1504" spans="1:14">
      <c r="A1504" s="184">
        <v>3682</v>
      </c>
      <c r="C1504">
        <v>-1142</v>
      </c>
      <c r="H1504" s="197">
        <v>0</v>
      </c>
      <c r="I1504">
        <f t="shared" si="141"/>
        <v>979</v>
      </c>
      <c r="J1504" s="190">
        <v>0</v>
      </c>
      <c r="K1504">
        <f t="shared" si="140"/>
        <v>945</v>
      </c>
      <c r="L1504" s="62">
        <f t="shared" si="142"/>
        <v>983</v>
      </c>
      <c r="M1504" s="287">
        <v>0.79</v>
      </c>
      <c r="N1504" s="284">
        <f>VLOOKUP(3682,季財報!A:N,8,0)</f>
        <v>0</v>
      </c>
    </row>
    <row r="1505" spans="1:14">
      <c r="A1505" s="184">
        <v>3686</v>
      </c>
      <c r="C1505">
        <v>-115</v>
      </c>
      <c r="H1505" s="197">
        <v>0</v>
      </c>
      <c r="I1505">
        <f t="shared" si="141"/>
        <v>979</v>
      </c>
      <c r="J1505" s="190">
        <v>0</v>
      </c>
      <c r="K1505">
        <f t="shared" si="140"/>
        <v>945</v>
      </c>
      <c r="L1505" s="62">
        <f t="shared" si="142"/>
        <v>983</v>
      </c>
      <c r="M1505" s="287">
        <v>5.71</v>
      </c>
      <c r="N1505" s="284">
        <f>VLOOKUP(3686,季財報!A:N,8,0)</f>
        <v>2</v>
      </c>
    </row>
    <row r="1506" spans="1:14">
      <c r="A1506" s="184">
        <v>3687</v>
      </c>
      <c r="C1506">
        <v>-32</v>
      </c>
      <c r="H1506" s="197">
        <v>0</v>
      </c>
      <c r="I1506">
        <f t="shared" si="141"/>
        <v>979</v>
      </c>
      <c r="J1506" s="190">
        <v>0</v>
      </c>
      <c r="K1506">
        <f t="shared" si="140"/>
        <v>945</v>
      </c>
      <c r="L1506" s="62">
        <f t="shared" si="142"/>
        <v>983</v>
      </c>
      <c r="M1506" s="287">
        <v>0.79</v>
      </c>
      <c r="N1506" s="284">
        <f>VLOOKUP(3687,季財報!A:N,8,0)</f>
        <v>3</v>
      </c>
    </row>
    <row r="1507" spans="1:14">
      <c r="A1507" s="184">
        <v>3698</v>
      </c>
      <c r="C1507">
        <v>-69</v>
      </c>
      <c r="H1507" s="197">
        <v>0</v>
      </c>
      <c r="I1507">
        <f t="shared" si="141"/>
        <v>979</v>
      </c>
      <c r="J1507" s="190">
        <v>0</v>
      </c>
      <c r="K1507">
        <f t="shared" si="140"/>
        <v>945</v>
      </c>
      <c r="L1507" s="62">
        <f t="shared" si="142"/>
        <v>983</v>
      </c>
      <c r="M1507" s="287">
        <v>2.29</v>
      </c>
      <c r="N1507" s="284">
        <f>VLOOKUP(3698,季財報!A:N,8,0)</f>
        <v>1</v>
      </c>
    </row>
    <row r="1508" spans="1:14">
      <c r="A1508" s="184">
        <v>3701</v>
      </c>
      <c r="C1508">
        <v>-82</v>
      </c>
      <c r="H1508" s="197">
        <v>0</v>
      </c>
      <c r="I1508">
        <f t="shared" si="141"/>
        <v>979</v>
      </c>
      <c r="J1508" s="190">
        <v>0</v>
      </c>
      <c r="K1508">
        <f t="shared" si="140"/>
        <v>945</v>
      </c>
      <c r="L1508" s="62">
        <f t="shared" si="142"/>
        <v>983</v>
      </c>
      <c r="M1508" s="287">
        <v>1.36</v>
      </c>
      <c r="N1508" s="284">
        <f>VLOOKUP(3701,季財報!A:N,8,0)</f>
        <v>2</v>
      </c>
    </row>
    <row r="1509" spans="1:14">
      <c r="A1509" s="184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197">
        <v>0</v>
      </c>
      <c r="I1509">
        <f t="shared" si="141"/>
        <v>979</v>
      </c>
      <c r="J1509" s="190">
        <v>0</v>
      </c>
      <c r="K1509">
        <f t="shared" si="140"/>
        <v>945</v>
      </c>
      <c r="L1509" s="62">
        <f t="shared" si="142"/>
        <v>983</v>
      </c>
      <c r="M1509" s="287">
        <v>0.79</v>
      </c>
      <c r="N1509" s="284">
        <f>VLOOKUP(3703,季財報!A:N,8,0)</f>
        <v>0</v>
      </c>
    </row>
    <row r="1510" spans="1:14">
      <c r="A1510" s="184">
        <v>3704</v>
      </c>
      <c r="C1510">
        <v>-3</v>
      </c>
      <c r="H1510" s="197">
        <v>0</v>
      </c>
      <c r="I1510">
        <f t="shared" si="141"/>
        <v>979</v>
      </c>
      <c r="J1510" s="190">
        <v>0</v>
      </c>
      <c r="K1510">
        <f t="shared" si="140"/>
        <v>945</v>
      </c>
      <c r="L1510" s="62">
        <f t="shared" si="142"/>
        <v>983</v>
      </c>
      <c r="M1510" s="287">
        <v>0.79</v>
      </c>
      <c r="N1510" s="284">
        <f>VLOOKUP(3704,季財報!A:N,8,0)</f>
        <v>3</v>
      </c>
    </row>
    <row r="1511" spans="1:14">
      <c r="A1511" s="184">
        <v>3707</v>
      </c>
      <c r="C1511">
        <v>-173</v>
      </c>
      <c r="H1511" s="197">
        <v>0</v>
      </c>
      <c r="I1511">
        <f t="shared" si="141"/>
        <v>979</v>
      </c>
      <c r="J1511" s="190">
        <v>0</v>
      </c>
      <c r="K1511">
        <f t="shared" si="140"/>
        <v>945</v>
      </c>
      <c r="L1511" s="62">
        <f t="shared" si="142"/>
        <v>983</v>
      </c>
      <c r="M1511" s="287">
        <v>1.36</v>
      </c>
      <c r="N1511" s="284">
        <f>VLOOKUP(3707,季財報!A:N,8,0)</f>
        <v>1</v>
      </c>
    </row>
    <row r="1512" spans="1:14">
      <c r="A1512" s="184">
        <v>4102</v>
      </c>
      <c r="C1512">
        <v>0</v>
      </c>
      <c r="H1512" s="197">
        <v>0</v>
      </c>
      <c r="I1512">
        <f t="shared" si="141"/>
        <v>979</v>
      </c>
      <c r="J1512" s="190">
        <v>0</v>
      </c>
      <c r="K1512">
        <f t="shared" si="140"/>
        <v>945</v>
      </c>
      <c r="L1512" s="62">
        <f t="shared" si="142"/>
        <v>983</v>
      </c>
      <c r="M1512" s="287">
        <v>0.79</v>
      </c>
      <c r="N1512" s="284">
        <f>VLOOKUP(4102,季財報!A:N,8,0)</f>
        <v>3</v>
      </c>
    </row>
    <row r="1513" spans="1:14">
      <c r="A1513" s="184">
        <v>4108</v>
      </c>
      <c r="C1513">
        <v>-59</v>
      </c>
      <c r="H1513" s="197">
        <v>0</v>
      </c>
      <c r="I1513">
        <f t="shared" si="141"/>
        <v>979</v>
      </c>
      <c r="J1513" s="190">
        <v>0</v>
      </c>
      <c r="K1513">
        <f t="shared" si="140"/>
        <v>945</v>
      </c>
      <c r="L1513" s="62">
        <f t="shared" si="142"/>
        <v>983</v>
      </c>
      <c r="M1513" s="287">
        <v>0.79</v>
      </c>
      <c r="N1513" s="284">
        <f>VLOOKUP(4108,季財報!A:N,8,0)</f>
        <v>4</v>
      </c>
    </row>
    <row r="1514" spans="1:14">
      <c r="A1514" s="184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197">
        <v>0</v>
      </c>
      <c r="I1514">
        <f t="shared" si="141"/>
        <v>979</v>
      </c>
      <c r="J1514" s="190">
        <v>0</v>
      </c>
      <c r="K1514">
        <f t="shared" si="140"/>
        <v>945</v>
      </c>
      <c r="L1514" s="62">
        <f t="shared" si="142"/>
        <v>983</v>
      </c>
      <c r="M1514" s="287">
        <v>6.36</v>
      </c>
      <c r="N1514" s="284">
        <f>VLOOKUP(4113,季財報!A:N,8,0)</f>
        <v>2</v>
      </c>
    </row>
    <row r="1515" spans="1:14">
      <c r="A1515" s="184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197">
        <v>0</v>
      </c>
      <c r="I1515">
        <f t="shared" si="141"/>
        <v>979</v>
      </c>
      <c r="J1515" s="190">
        <v>0</v>
      </c>
      <c r="K1515">
        <f t="shared" si="140"/>
        <v>945</v>
      </c>
      <c r="L1515" s="62">
        <f t="shared" si="142"/>
        <v>983</v>
      </c>
      <c r="M1515" s="287">
        <v>0.79</v>
      </c>
      <c r="N1515" s="284">
        <f>VLOOKUP(4114,季財報!A:N,8,0)</f>
        <v>3</v>
      </c>
    </row>
    <row r="1516" spans="1:14">
      <c r="A1516" s="184">
        <v>4121</v>
      </c>
      <c r="C1516">
        <v>-25</v>
      </c>
      <c r="H1516" s="197">
        <v>0</v>
      </c>
      <c r="I1516">
        <f t="shared" si="141"/>
        <v>979</v>
      </c>
      <c r="J1516" s="190">
        <v>0</v>
      </c>
      <c r="K1516">
        <f t="shared" si="140"/>
        <v>945</v>
      </c>
      <c r="L1516" s="62">
        <f t="shared" si="142"/>
        <v>983</v>
      </c>
      <c r="M1516" s="287">
        <v>0.79</v>
      </c>
      <c r="N1516" s="284">
        <f>VLOOKUP(4121,季財報!A:N,8,0)</f>
        <v>3</v>
      </c>
    </row>
    <row r="1517" spans="1:14">
      <c r="A1517" s="184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197">
        <v>0</v>
      </c>
      <c r="I1517">
        <f t="shared" si="141"/>
        <v>979</v>
      </c>
      <c r="J1517" s="190">
        <v>0</v>
      </c>
      <c r="K1517">
        <f t="shared" si="140"/>
        <v>945</v>
      </c>
      <c r="L1517" s="62">
        <f t="shared" si="142"/>
        <v>983</v>
      </c>
      <c r="M1517" s="287">
        <v>1.01</v>
      </c>
      <c r="N1517" s="284">
        <f>VLOOKUP(4123,季財報!A:N,8,0)</f>
        <v>3</v>
      </c>
    </row>
    <row r="1518" spans="1:14">
      <c r="A1518" s="184">
        <v>4131</v>
      </c>
      <c r="C1518">
        <v>-5</v>
      </c>
      <c r="H1518" s="197">
        <v>0</v>
      </c>
      <c r="I1518">
        <f t="shared" si="141"/>
        <v>979</v>
      </c>
      <c r="J1518" s="190">
        <v>0</v>
      </c>
      <c r="K1518">
        <f t="shared" si="140"/>
        <v>945</v>
      </c>
      <c r="L1518" s="62">
        <f t="shared" si="142"/>
        <v>983</v>
      </c>
      <c r="M1518" s="287">
        <v>1.84</v>
      </c>
      <c r="N1518" s="284">
        <f>VLOOKUP(4131,季財報!A:N,8,0)</f>
        <v>2</v>
      </c>
    </row>
    <row r="1519" spans="1:14">
      <c r="A1519" s="184">
        <v>5392</v>
      </c>
      <c r="C1519">
        <v>-24</v>
      </c>
      <c r="H1519" s="197">
        <v>0</v>
      </c>
      <c r="I1519">
        <f t="shared" si="141"/>
        <v>979</v>
      </c>
      <c r="J1519" s="190">
        <v>0</v>
      </c>
      <c r="K1519">
        <f t="shared" si="140"/>
        <v>945</v>
      </c>
      <c r="L1519" s="62">
        <f t="shared" si="142"/>
        <v>983</v>
      </c>
      <c r="M1519" s="287">
        <v>52.38</v>
      </c>
      <c r="N1519" s="285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1" sqref="E31"/>
    </sheetView>
  </sheetViews>
  <sheetFormatPr defaultRowHeight="16.5"/>
  <cols>
    <col min="6" max="6" width="102.625" bestFit="1" customWidth="1"/>
    <col min="7" max="7" width="107.625" bestFit="1" customWidth="1"/>
  </cols>
  <sheetData>
    <row r="1" spans="1:1" s="62" customFormat="1" ht="32.25" customHeight="1">
      <c r="A1" s="202" t="s">
        <v>1928</v>
      </c>
    </row>
    <row r="2" spans="1:1">
      <c r="A2" s="201" t="s">
        <v>1926</v>
      </c>
    </row>
    <row r="3" spans="1:1">
      <c r="A3" s="201" t="s">
        <v>1969</v>
      </c>
    </row>
    <row r="4" spans="1:1">
      <c r="A4" s="201" t="s">
        <v>1927</v>
      </c>
    </row>
    <row r="5" spans="1:1">
      <c r="A5" s="201" t="s">
        <v>1929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92" activePane="bottomRight" state="frozen"/>
      <selection pane="topRight" activeCell="H1" sqref="H1"/>
      <selection pane="bottomLeft" activeCell="A2" sqref="A2"/>
      <selection pane="bottomRight" activeCell="A311" sqref="A311"/>
    </sheetView>
  </sheetViews>
  <sheetFormatPr defaultRowHeight="16.5"/>
  <cols>
    <col min="8" max="8" width="5.5" bestFit="1" customWidth="1"/>
  </cols>
  <sheetData>
    <row r="1" spans="1:9" s="264" customFormat="1" ht="26.25" customHeight="1">
      <c r="A1" s="264" t="s">
        <v>206</v>
      </c>
      <c r="B1" s="264" t="s">
        <v>1910</v>
      </c>
      <c r="C1" s="264" t="s">
        <v>1911</v>
      </c>
      <c r="D1" s="264" t="s">
        <v>1912</v>
      </c>
      <c r="E1" s="264" t="s">
        <v>1913</v>
      </c>
      <c r="F1" s="264" t="s">
        <v>1914</v>
      </c>
      <c r="G1" s="264" t="s">
        <v>1915</v>
      </c>
      <c r="H1" s="265" t="s">
        <v>1932</v>
      </c>
      <c r="I1" s="264" t="s">
        <v>1965</v>
      </c>
    </row>
    <row r="2" spans="1:9">
      <c r="A2">
        <v>1258</v>
      </c>
      <c r="C2">
        <v>1</v>
      </c>
      <c r="D2">
        <v>1</v>
      </c>
      <c r="E2">
        <v>2</v>
      </c>
      <c r="F2">
        <v>1</v>
      </c>
      <c r="G2">
        <v>1</v>
      </c>
      <c r="H2">
        <f t="shared" ref="H2:H65" si="0">SUM(C2:G2)</f>
        <v>6</v>
      </c>
    </row>
    <row r="3" spans="1:9">
      <c r="A3">
        <v>1730</v>
      </c>
      <c r="C3">
        <v>1</v>
      </c>
      <c r="D3">
        <v>1</v>
      </c>
      <c r="E3">
        <v>2</v>
      </c>
      <c r="F3">
        <v>1</v>
      </c>
      <c r="G3">
        <v>1</v>
      </c>
      <c r="H3">
        <f t="shared" si="0"/>
        <v>6</v>
      </c>
    </row>
    <row r="4" spans="1:9">
      <c r="A4">
        <v>1808</v>
      </c>
      <c r="C4">
        <v>1</v>
      </c>
      <c r="D4">
        <v>1</v>
      </c>
      <c r="E4">
        <v>2</v>
      </c>
      <c r="F4">
        <v>1</v>
      </c>
      <c r="G4">
        <v>1</v>
      </c>
      <c r="H4">
        <f t="shared" si="0"/>
        <v>6</v>
      </c>
    </row>
    <row r="5" spans="1:9">
      <c r="A5">
        <v>2313</v>
      </c>
      <c r="C5">
        <v>1</v>
      </c>
      <c r="D5">
        <v>1</v>
      </c>
      <c r="E5">
        <v>2</v>
      </c>
      <c r="F5">
        <v>1</v>
      </c>
      <c r="G5">
        <v>1</v>
      </c>
      <c r="H5">
        <f t="shared" si="0"/>
        <v>6</v>
      </c>
    </row>
    <row r="6" spans="1:9">
      <c r="A6">
        <v>2482</v>
      </c>
      <c r="C6">
        <v>1</v>
      </c>
      <c r="D6">
        <v>1</v>
      </c>
      <c r="E6">
        <v>2</v>
      </c>
      <c r="F6">
        <v>1</v>
      </c>
      <c r="G6">
        <v>1</v>
      </c>
      <c r="H6">
        <f t="shared" si="0"/>
        <v>6</v>
      </c>
    </row>
    <row r="7" spans="1:9">
      <c r="A7">
        <v>2637</v>
      </c>
      <c r="C7">
        <v>1</v>
      </c>
      <c r="D7">
        <v>1</v>
      </c>
      <c r="E7">
        <v>2</v>
      </c>
      <c r="F7">
        <v>1</v>
      </c>
      <c r="G7">
        <v>1</v>
      </c>
      <c r="H7">
        <f t="shared" si="0"/>
        <v>6</v>
      </c>
    </row>
    <row r="8" spans="1:9">
      <c r="A8">
        <v>2701</v>
      </c>
      <c r="C8">
        <v>1</v>
      </c>
      <c r="D8">
        <v>1</v>
      </c>
      <c r="E8">
        <v>2</v>
      </c>
      <c r="F8">
        <v>1</v>
      </c>
      <c r="G8">
        <v>1</v>
      </c>
      <c r="H8">
        <f t="shared" si="0"/>
        <v>6</v>
      </c>
    </row>
    <row r="9" spans="1:9">
      <c r="A9">
        <v>3234</v>
      </c>
      <c r="C9">
        <v>1</v>
      </c>
      <c r="D9">
        <v>1</v>
      </c>
      <c r="E9">
        <v>2</v>
      </c>
      <c r="F9">
        <v>1</v>
      </c>
      <c r="G9">
        <v>1</v>
      </c>
      <c r="H9">
        <f t="shared" si="0"/>
        <v>6</v>
      </c>
    </row>
    <row r="10" spans="1:9">
      <c r="A10">
        <v>3236</v>
      </c>
      <c r="C10">
        <v>1</v>
      </c>
      <c r="D10">
        <v>1</v>
      </c>
      <c r="E10">
        <v>2</v>
      </c>
      <c r="F10">
        <v>1</v>
      </c>
      <c r="G10">
        <v>1</v>
      </c>
      <c r="H10">
        <f t="shared" si="0"/>
        <v>6</v>
      </c>
    </row>
    <row r="11" spans="1:9">
      <c r="A11">
        <v>3479</v>
      </c>
      <c r="C11">
        <v>1</v>
      </c>
      <c r="D11">
        <v>1</v>
      </c>
      <c r="E11">
        <v>2</v>
      </c>
      <c r="F11">
        <v>1</v>
      </c>
      <c r="G11">
        <v>1</v>
      </c>
      <c r="H11">
        <f t="shared" si="0"/>
        <v>6</v>
      </c>
    </row>
    <row r="12" spans="1:9">
      <c r="A12">
        <v>3558</v>
      </c>
      <c r="C12">
        <v>1</v>
      </c>
      <c r="D12">
        <v>1</v>
      </c>
      <c r="E12">
        <v>2</v>
      </c>
      <c r="F12">
        <v>1</v>
      </c>
      <c r="G12">
        <v>1</v>
      </c>
      <c r="H12">
        <f t="shared" si="0"/>
        <v>6</v>
      </c>
    </row>
    <row r="13" spans="1:9">
      <c r="A13">
        <v>4506</v>
      </c>
      <c r="C13">
        <v>1</v>
      </c>
      <c r="D13">
        <v>1</v>
      </c>
      <c r="E13">
        <v>2</v>
      </c>
      <c r="F13">
        <v>1</v>
      </c>
      <c r="G13">
        <v>1</v>
      </c>
      <c r="H13">
        <f t="shared" si="0"/>
        <v>6</v>
      </c>
    </row>
    <row r="14" spans="1:9">
      <c r="A14">
        <v>4935</v>
      </c>
      <c r="C14">
        <v>1</v>
      </c>
      <c r="D14">
        <v>1</v>
      </c>
      <c r="E14">
        <v>2</v>
      </c>
      <c r="F14">
        <v>1</v>
      </c>
      <c r="G14">
        <v>1</v>
      </c>
      <c r="H14">
        <f t="shared" si="0"/>
        <v>6</v>
      </c>
    </row>
    <row r="15" spans="1:9">
      <c r="A15">
        <v>5245</v>
      </c>
      <c r="C15">
        <v>1</v>
      </c>
      <c r="D15">
        <v>1</v>
      </c>
      <c r="E15">
        <v>2</v>
      </c>
      <c r="F15">
        <v>1</v>
      </c>
      <c r="G15">
        <v>1</v>
      </c>
      <c r="H15">
        <f t="shared" si="0"/>
        <v>6</v>
      </c>
    </row>
    <row r="16" spans="1:9">
      <c r="A16">
        <v>5269</v>
      </c>
      <c r="C16">
        <v>1</v>
      </c>
      <c r="D16">
        <v>1</v>
      </c>
      <c r="E16">
        <v>2</v>
      </c>
      <c r="F16">
        <v>1</v>
      </c>
      <c r="G16">
        <v>1</v>
      </c>
      <c r="H16">
        <f t="shared" si="0"/>
        <v>6</v>
      </c>
    </row>
    <row r="17" spans="1:8">
      <c r="A17">
        <v>5274</v>
      </c>
      <c r="C17">
        <v>1</v>
      </c>
      <c r="D17">
        <v>1</v>
      </c>
      <c r="E17">
        <v>2</v>
      </c>
      <c r="F17">
        <v>1</v>
      </c>
      <c r="G17">
        <v>1</v>
      </c>
      <c r="H17">
        <f t="shared" si="0"/>
        <v>6</v>
      </c>
    </row>
    <row r="18" spans="1:8">
      <c r="A18">
        <v>6286</v>
      </c>
      <c r="C18">
        <v>1</v>
      </c>
      <c r="D18">
        <v>1</v>
      </c>
      <c r="E18">
        <v>2</v>
      </c>
      <c r="F18">
        <v>1</v>
      </c>
      <c r="G18">
        <v>1</v>
      </c>
      <c r="H18">
        <f t="shared" si="0"/>
        <v>6</v>
      </c>
    </row>
    <row r="19" spans="1:8">
      <c r="A19">
        <v>6432</v>
      </c>
      <c r="C19">
        <v>1</v>
      </c>
      <c r="D19">
        <v>1</v>
      </c>
      <c r="E19">
        <v>2</v>
      </c>
      <c r="F19">
        <v>1</v>
      </c>
      <c r="G19">
        <v>1</v>
      </c>
      <c r="H19">
        <f t="shared" si="0"/>
        <v>6</v>
      </c>
    </row>
    <row r="20" spans="1:8">
      <c r="A20">
        <v>8913</v>
      </c>
      <c r="C20">
        <v>1</v>
      </c>
      <c r="D20">
        <v>1</v>
      </c>
      <c r="E20">
        <v>2</v>
      </c>
      <c r="F20">
        <v>1</v>
      </c>
      <c r="G20">
        <v>1</v>
      </c>
      <c r="H20">
        <f t="shared" si="0"/>
        <v>6</v>
      </c>
    </row>
    <row r="21" spans="1:8">
      <c r="A21">
        <v>9910</v>
      </c>
      <c r="C21">
        <v>1</v>
      </c>
      <c r="D21">
        <v>1</v>
      </c>
      <c r="E21">
        <v>2</v>
      </c>
      <c r="F21">
        <v>1</v>
      </c>
      <c r="G21">
        <v>1</v>
      </c>
      <c r="H21">
        <f t="shared" si="0"/>
        <v>6</v>
      </c>
    </row>
    <row r="22" spans="1:8">
      <c r="A22">
        <v>1203</v>
      </c>
      <c r="C22">
        <v>0</v>
      </c>
      <c r="D22">
        <v>1</v>
      </c>
      <c r="E22">
        <v>2</v>
      </c>
      <c r="F22">
        <v>1</v>
      </c>
      <c r="G22">
        <v>1</v>
      </c>
      <c r="H22">
        <f t="shared" si="0"/>
        <v>5</v>
      </c>
    </row>
    <row r="23" spans="1:8">
      <c r="A23">
        <v>1234</v>
      </c>
      <c r="C23">
        <v>1</v>
      </c>
      <c r="D23">
        <v>1</v>
      </c>
      <c r="E23">
        <v>2</v>
      </c>
      <c r="F23">
        <v>1</v>
      </c>
      <c r="G23">
        <v>0</v>
      </c>
      <c r="H23">
        <f t="shared" si="0"/>
        <v>5</v>
      </c>
    </row>
    <row r="24" spans="1:8">
      <c r="A24">
        <v>1307</v>
      </c>
      <c r="C24">
        <v>1</v>
      </c>
      <c r="D24">
        <v>1</v>
      </c>
      <c r="E24">
        <v>2</v>
      </c>
      <c r="F24">
        <v>1</v>
      </c>
      <c r="G24">
        <v>0</v>
      </c>
      <c r="H24">
        <f t="shared" si="0"/>
        <v>5</v>
      </c>
    </row>
    <row r="25" spans="1:8">
      <c r="A25">
        <v>1435</v>
      </c>
      <c r="C25">
        <v>1</v>
      </c>
      <c r="D25">
        <v>1</v>
      </c>
      <c r="E25">
        <v>1</v>
      </c>
      <c r="F25">
        <v>2</v>
      </c>
      <c r="G25">
        <v>0</v>
      </c>
      <c r="H25">
        <f t="shared" si="0"/>
        <v>5</v>
      </c>
    </row>
    <row r="26" spans="1:8">
      <c r="A26">
        <v>1512</v>
      </c>
      <c r="C26">
        <v>1</v>
      </c>
      <c r="D26">
        <v>1</v>
      </c>
      <c r="E26">
        <v>2</v>
      </c>
      <c r="F26">
        <v>1</v>
      </c>
      <c r="G26">
        <v>0</v>
      </c>
      <c r="H26">
        <f t="shared" si="0"/>
        <v>5</v>
      </c>
    </row>
    <row r="27" spans="1:8">
      <c r="A27">
        <v>1515</v>
      </c>
      <c r="C27">
        <v>1</v>
      </c>
      <c r="D27">
        <v>1</v>
      </c>
      <c r="E27">
        <v>2</v>
      </c>
      <c r="F27">
        <v>1</v>
      </c>
      <c r="G27">
        <v>0</v>
      </c>
      <c r="H27">
        <f t="shared" si="0"/>
        <v>5</v>
      </c>
    </row>
    <row r="28" spans="1:8">
      <c r="A28">
        <v>1524</v>
      </c>
      <c r="C28">
        <v>1</v>
      </c>
      <c r="D28">
        <v>1</v>
      </c>
      <c r="E28">
        <v>2</v>
      </c>
      <c r="F28">
        <v>1</v>
      </c>
      <c r="G28">
        <v>0</v>
      </c>
      <c r="H28">
        <f t="shared" si="0"/>
        <v>5</v>
      </c>
    </row>
    <row r="29" spans="1:8">
      <c r="A29">
        <v>1565</v>
      </c>
      <c r="C29">
        <v>1</v>
      </c>
      <c r="D29">
        <v>1</v>
      </c>
      <c r="E29">
        <v>2</v>
      </c>
      <c r="F29">
        <v>1</v>
      </c>
      <c r="G29">
        <v>0</v>
      </c>
      <c r="H29">
        <f t="shared" si="0"/>
        <v>5</v>
      </c>
    </row>
    <row r="30" spans="1:8">
      <c r="A30">
        <v>1570</v>
      </c>
      <c r="C30">
        <v>1</v>
      </c>
      <c r="D30">
        <v>1</v>
      </c>
      <c r="E30">
        <v>2</v>
      </c>
      <c r="F30">
        <v>1</v>
      </c>
      <c r="G30">
        <v>0</v>
      </c>
      <c r="H30">
        <f t="shared" si="0"/>
        <v>5</v>
      </c>
    </row>
    <row r="31" spans="1:8">
      <c r="A31">
        <v>1611</v>
      </c>
      <c r="C31">
        <v>1</v>
      </c>
      <c r="D31">
        <v>1</v>
      </c>
      <c r="E31">
        <v>2</v>
      </c>
      <c r="F31">
        <v>1</v>
      </c>
      <c r="G31">
        <v>0</v>
      </c>
      <c r="H31">
        <f t="shared" si="0"/>
        <v>5</v>
      </c>
    </row>
    <row r="32" spans="1:8">
      <c r="A32">
        <v>1715</v>
      </c>
      <c r="C32">
        <v>0</v>
      </c>
      <c r="D32">
        <v>1</v>
      </c>
      <c r="E32">
        <v>2</v>
      </c>
      <c r="F32">
        <v>1</v>
      </c>
      <c r="G32">
        <v>1</v>
      </c>
      <c r="H32">
        <f t="shared" si="0"/>
        <v>5</v>
      </c>
    </row>
    <row r="33" spans="1:8">
      <c r="A33">
        <v>1773</v>
      </c>
      <c r="C33">
        <v>1</v>
      </c>
      <c r="D33">
        <v>1</v>
      </c>
      <c r="E33">
        <v>2</v>
      </c>
      <c r="F33">
        <v>1</v>
      </c>
      <c r="G33">
        <v>0</v>
      </c>
      <c r="H33">
        <f t="shared" si="0"/>
        <v>5</v>
      </c>
    </row>
    <row r="34" spans="1:8">
      <c r="A34">
        <v>1777</v>
      </c>
      <c r="C34">
        <v>1</v>
      </c>
      <c r="D34">
        <v>1</v>
      </c>
      <c r="E34">
        <v>1</v>
      </c>
      <c r="F34">
        <v>1</v>
      </c>
      <c r="G34">
        <v>1</v>
      </c>
      <c r="H34">
        <f t="shared" si="0"/>
        <v>5</v>
      </c>
    </row>
    <row r="35" spans="1:8">
      <c r="A35">
        <v>1786</v>
      </c>
      <c r="C35">
        <v>1</v>
      </c>
      <c r="D35">
        <v>1</v>
      </c>
      <c r="E35">
        <v>2</v>
      </c>
      <c r="F35">
        <v>1</v>
      </c>
      <c r="G35">
        <v>0</v>
      </c>
      <c r="H35">
        <f t="shared" si="0"/>
        <v>5</v>
      </c>
    </row>
    <row r="36" spans="1:8">
      <c r="A36">
        <v>1787</v>
      </c>
      <c r="C36">
        <v>1</v>
      </c>
      <c r="D36">
        <v>1</v>
      </c>
      <c r="E36">
        <v>1</v>
      </c>
      <c r="F36">
        <v>1</v>
      </c>
      <c r="G36">
        <v>1</v>
      </c>
      <c r="H36">
        <f t="shared" si="0"/>
        <v>5</v>
      </c>
    </row>
    <row r="37" spans="1:8">
      <c r="A37">
        <v>2377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2383</v>
      </c>
      <c r="C38">
        <v>1</v>
      </c>
      <c r="D38">
        <v>1</v>
      </c>
      <c r="E38">
        <v>2</v>
      </c>
      <c r="F38">
        <v>1</v>
      </c>
      <c r="G38">
        <v>0</v>
      </c>
      <c r="H38">
        <f t="shared" si="0"/>
        <v>5</v>
      </c>
    </row>
    <row r="39" spans="1:8">
      <c r="A39">
        <v>2406</v>
      </c>
      <c r="C39">
        <v>1</v>
      </c>
      <c r="D39">
        <v>1</v>
      </c>
      <c r="E39">
        <v>2</v>
      </c>
      <c r="F39">
        <v>1</v>
      </c>
      <c r="G39">
        <v>0</v>
      </c>
      <c r="H39">
        <f t="shared" si="0"/>
        <v>5</v>
      </c>
    </row>
    <row r="40" spans="1:8">
      <c r="A40">
        <v>2421</v>
      </c>
      <c r="C40">
        <v>1</v>
      </c>
      <c r="D40">
        <v>1</v>
      </c>
      <c r="E40">
        <v>1</v>
      </c>
      <c r="F40">
        <v>1</v>
      </c>
      <c r="G40">
        <v>1</v>
      </c>
      <c r="H40">
        <f t="shared" si="0"/>
        <v>5</v>
      </c>
    </row>
    <row r="41" spans="1:8">
      <c r="A41">
        <v>2485</v>
      </c>
      <c r="C41">
        <v>1</v>
      </c>
      <c r="D41">
        <v>1</v>
      </c>
      <c r="E41">
        <v>1</v>
      </c>
      <c r="F41">
        <v>1</v>
      </c>
      <c r="G41">
        <v>1</v>
      </c>
      <c r="H41">
        <f t="shared" si="0"/>
        <v>5</v>
      </c>
    </row>
    <row r="42" spans="1:8">
      <c r="A42">
        <v>2509</v>
      </c>
      <c r="C42">
        <v>1</v>
      </c>
      <c r="D42">
        <v>1</v>
      </c>
      <c r="E42">
        <v>2</v>
      </c>
      <c r="F42">
        <v>0</v>
      </c>
      <c r="G42">
        <v>1</v>
      </c>
      <c r="H42">
        <f t="shared" si="0"/>
        <v>5</v>
      </c>
    </row>
    <row r="43" spans="1:8">
      <c r="A43">
        <v>2605</v>
      </c>
      <c r="C43">
        <v>1</v>
      </c>
      <c r="D43">
        <v>1</v>
      </c>
      <c r="E43">
        <v>2</v>
      </c>
      <c r="F43">
        <v>1</v>
      </c>
      <c r="G43">
        <v>0</v>
      </c>
      <c r="H43">
        <f t="shared" si="0"/>
        <v>5</v>
      </c>
    </row>
    <row r="44" spans="1:8">
      <c r="A44">
        <v>2618</v>
      </c>
      <c r="C44">
        <v>1</v>
      </c>
      <c r="D44">
        <v>1</v>
      </c>
      <c r="E44">
        <v>2</v>
      </c>
      <c r="F44">
        <v>1</v>
      </c>
      <c r="G44">
        <v>0</v>
      </c>
      <c r="H44">
        <f t="shared" si="0"/>
        <v>5</v>
      </c>
    </row>
    <row r="45" spans="1:8">
      <c r="A45">
        <v>2702</v>
      </c>
      <c r="C45">
        <v>1</v>
      </c>
      <c r="D45">
        <v>1</v>
      </c>
      <c r="E45">
        <v>1</v>
      </c>
      <c r="F45">
        <v>1</v>
      </c>
      <c r="G45">
        <v>1</v>
      </c>
      <c r="H45">
        <f t="shared" si="0"/>
        <v>5</v>
      </c>
    </row>
    <row r="46" spans="1:8">
      <c r="A46">
        <v>2723</v>
      </c>
      <c r="C46">
        <v>1</v>
      </c>
      <c r="D46">
        <v>1</v>
      </c>
      <c r="E46">
        <v>2</v>
      </c>
      <c r="F46">
        <v>1</v>
      </c>
      <c r="G46">
        <v>0</v>
      </c>
      <c r="H46">
        <f t="shared" si="0"/>
        <v>5</v>
      </c>
    </row>
    <row r="47" spans="1:8">
      <c r="A47">
        <v>2726</v>
      </c>
      <c r="C47">
        <v>1</v>
      </c>
      <c r="D47">
        <v>1</v>
      </c>
      <c r="E47">
        <v>2</v>
      </c>
      <c r="F47">
        <v>1</v>
      </c>
      <c r="G47">
        <v>0</v>
      </c>
      <c r="H47">
        <f t="shared" si="0"/>
        <v>5</v>
      </c>
    </row>
    <row r="48" spans="1:8">
      <c r="A48">
        <v>3044</v>
      </c>
      <c r="C48">
        <v>1</v>
      </c>
      <c r="D48">
        <v>1</v>
      </c>
      <c r="E48">
        <v>2</v>
      </c>
      <c r="F48">
        <v>1</v>
      </c>
      <c r="G48">
        <v>0</v>
      </c>
      <c r="H48">
        <f t="shared" si="0"/>
        <v>5</v>
      </c>
    </row>
    <row r="49" spans="1:8">
      <c r="A49">
        <v>3046</v>
      </c>
      <c r="C49">
        <v>1</v>
      </c>
      <c r="D49">
        <v>1</v>
      </c>
      <c r="E49">
        <v>2</v>
      </c>
      <c r="F49">
        <v>1</v>
      </c>
      <c r="G49">
        <v>0</v>
      </c>
      <c r="H49">
        <f t="shared" si="0"/>
        <v>5</v>
      </c>
    </row>
    <row r="50" spans="1:8">
      <c r="A50">
        <v>3049</v>
      </c>
      <c r="C50">
        <v>1</v>
      </c>
      <c r="D50">
        <v>1</v>
      </c>
      <c r="E50">
        <v>2</v>
      </c>
      <c r="F50">
        <v>1</v>
      </c>
      <c r="G50">
        <v>0</v>
      </c>
      <c r="H50">
        <f t="shared" si="0"/>
        <v>5</v>
      </c>
    </row>
    <row r="51" spans="1:8">
      <c r="A51">
        <v>3068</v>
      </c>
      <c r="C51">
        <v>1</v>
      </c>
      <c r="D51">
        <v>1</v>
      </c>
      <c r="E51">
        <v>2</v>
      </c>
      <c r="F51">
        <v>1</v>
      </c>
      <c r="G51">
        <v>0</v>
      </c>
      <c r="H51">
        <f t="shared" si="0"/>
        <v>5</v>
      </c>
    </row>
    <row r="52" spans="1:8">
      <c r="A52">
        <v>3152</v>
      </c>
      <c r="C52">
        <v>1</v>
      </c>
      <c r="D52">
        <v>1</v>
      </c>
      <c r="E52">
        <v>1</v>
      </c>
      <c r="F52">
        <v>1</v>
      </c>
      <c r="G52">
        <v>1</v>
      </c>
      <c r="H52">
        <f t="shared" si="0"/>
        <v>5</v>
      </c>
    </row>
    <row r="53" spans="1:8">
      <c r="A53">
        <v>3188</v>
      </c>
      <c r="C53">
        <v>1</v>
      </c>
      <c r="D53">
        <v>1</v>
      </c>
      <c r="E53">
        <v>2</v>
      </c>
      <c r="F53">
        <v>1</v>
      </c>
      <c r="G53">
        <v>0</v>
      </c>
      <c r="H53">
        <f t="shared" si="0"/>
        <v>5</v>
      </c>
    </row>
    <row r="54" spans="1:8">
      <c r="A54">
        <v>3205</v>
      </c>
      <c r="C54">
        <v>1</v>
      </c>
      <c r="D54">
        <v>1</v>
      </c>
      <c r="E54">
        <v>2</v>
      </c>
      <c r="F54">
        <v>1</v>
      </c>
      <c r="G54">
        <v>0</v>
      </c>
      <c r="H54">
        <f t="shared" si="0"/>
        <v>5</v>
      </c>
    </row>
    <row r="55" spans="1:8">
      <c r="A55">
        <v>3217</v>
      </c>
      <c r="C55">
        <v>1</v>
      </c>
      <c r="D55">
        <v>1</v>
      </c>
      <c r="E55">
        <v>2</v>
      </c>
      <c r="F55">
        <v>1</v>
      </c>
      <c r="G55">
        <v>0</v>
      </c>
      <c r="H55">
        <f t="shared" si="0"/>
        <v>5</v>
      </c>
    </row>
    <row r="56" spans="1:8">
      <c r="A56">
        <v>3293</v>
      </c>
      <c r="C56">
        <v>1</v>
      </c>
      <c r="D56">
        <v>1</v>
      </c>
      <c r="E56">
        <v>2</v>
      </c>
      <c r="F56">
        <v>1</v>
      </c>
      <c r="G56">
        <v>0</v>
      </c>
      <c r="H56">
        <f t="shared" si="0"/>
        <v>5</v>
      </c>
    </row>
    <row r="57" spans="1:8">
      <c r="A57">
        <v>3294</v>
      </c>
      <c r="C57">
        <v>1</v>
      </c>
      <c r="D57">
        <v>1</v>
      </c>
      <c r="E57">
        <v>2</v>
      </c>
      <c r="F57">
        <v>1</v>
      </c>
      <c r="G57">
        <v>0</v>
      </c>
      <c r="H57">
        <f t="shared" si="0"/>
        <v>5</v>
      </c>
    </row>
    <row r="58" spans="1:8">
      <c r="A58">
        <v>3303</v>
      </c>
      <c r="C58">
        <v>1</v>
      </c>
      <c r="D58">
        <v>1</v>
      </c>
      <c r="E58">
        <v>2</v>
      </c>
      <c r="F58">
        <v>1</v>
      </c>
      <c r="G58">
        <v>0</v>
      </c>
      <c r="H58">
        <f t="shared" si="0"/>
        <v>5</v>
      </c>
    </row>
    <row r="59" spans="1:8">
      <c r="A59">
        <v>3338</v>
      </c>
      <c r="C59">
        <v>1</v>
      </c>
      <c r="D59">
        <v>1</v>
      </c>
      <c r="E59">
        <v>2</v>
      </c>
      <c r="F59">
        <v>1</v>
      </c>
      <c r="G59">
        <v>0</v>
      </c>
      <c r="H59">
        <f t="shared" si="0"/>
        <v>5</v>
      </c>
    </row>
    <row r="60" spans="1:8">
      <c r="A60">
        <v>3354</v>
      </c>
      <c r="C60">
        <v>1</v>
      </c>
      <c r="D60">
        <v>1</v>
      </c>
      <c r="E60">
        <v>2</v>
      </c>
      <c r="F60">
        <v>1</v>
      </c>
      <c r="G60">
        <v>0</v>
      </c>
      <c r="H60">
        <f t="shared" si="0"/>
        <v>5</v>
      </c>
    </row>
    <row r="61" spans="1:8">
      <c r="A61">
        <v>3419</v>
      </c>
      <c r="C61">
        <v>1</v>
      </c>
      <c r="D61">
        <v>1</v>
      </c>
      <c r="E61">
        <v>2</v>
      </c>
      <c r="F61">
        <v>1</v>
      </c>
      <c r="G61">
        <v>0</v>
      </c>
      <c r="H61">
        <f t="shared" si="0"/>
        <v>5</v>
      </c>
    </row>
    <row r="62" spans="1:8">
      <c r="A62">
        <v>3428</v>
      </c>
      <c r="C62">
        <v>1</v>
      </c>
      <c r="D62">
        <v>1</v>
      </c>
      <c r="E62">
        <v>2</v>
      </c>
      <c r="F62">
        <v>1</v>
      </c>
      <c r="G62">
        <v>0</v>
      </c>
      <c r="H62">
        <f t="shared" si="0"/>
        <v>5</v>
      </c>
    </row>
    <row r="63" spans="1:8">
      <c r="A63">
        <v>3491</v>
      </c>
      <c r="C63">
        <v>1</v>
      </c>
      <c r="D63">
        <v>1</v>
      </c>
      <c r="E63">
        <v>1</v>
      </c>
      <c r="F63">
        <v>1</v>
      </c>
      <c r="G63">
        <v>1</v>
      </c>
      <c r="H63">
        <f t="shared" si="0"/>
        <v>5</v>
      </c>
    </row>
    <row r="64" spans="1:8">
      <c r="A64">
        <v>3499</v>
      </c>
      <c r="C64">
        <v>1</v>
      </c>
      <c r="D64">
        <v>1</v>
      </c>
      <c r="E64">
        <v>2</v>
      </c>
      <c r="F64">
        <v>1</v>
      </c>
      <c r="G64">
        <v>0</v>
      </c>
      <c r="H64">
        <f t="shared" si="0"/>
        <v>5</v>
      </c>
    </row>
    <row r="65" spans="1:8">
      <c r="A65">
        <v>3501</v>
      </c>
      <c r="C65">
        <v>1</v>
      </c>
      <c r="D65">
        <v>1</v>
      </c>
      <c r="E65">
        <v>1</v>
      </c>
      <c r="F65">
        <v>1</v>
      </c>
      <c r="G65">
        <v>1</v>
      </c>
      <c r="H65">
        <f t="shared" si="0"/>
        <v>5</v>
      </c>
    </row>
    <row r="66" spans="1:8">
      <c r="A66">
        <v>3533</v>
      </c>
      <c r="C66">
        <v>1</v>
      </c>
      <c r="D66">
        <v>1</v>
      </c>
      <c r="E66">
        <v>2</v>
      </c>
      <c r="F66">
        <v>1</v>
      </c>
      <c r="G66">
        <v>0</v>
      </c>
      <c r="H66">
        <f t="shared" ref="H66:H129" si="1">SUM(C66:G66)</f>
        <v>5</v>
      </c>
    </row>
    <row r="67" spans="1:8">
      <c r="A67">
        <v>3694</v>
      </c>
      <c r="C67">
        <v>1</v>
      </c>
      <c r="D67">
        <v>1</v>
      </c>
      <c r="E67">
        <v>2</v>
      </c>
      <c r="F67">
        <v>0</v>
      </c>
      <c r="G67">
        <v>1</v>
      </c>
      <c r="H67">
        <f t="shared" si="1"/>
        <v>5</v>
      </c>
    </row>
    <row r="68" spans="1:8">
      <c r="A68">
        <v>4536</v>
      </c>
      <c r="C68">
        <v>1</v>
      </c>
      <c r="D68">
        <v>1</v>
      </c>
      <c r="E68">
        <v>2</v>
      </c>
      <c r="F68">
        <v>1</v>
      </c>
      <c r="G68">
        <v>0</v>
      </c>
      <c r="H68">
        <f t="shared" si="1"/>
        <v>5</v>
      </c>
    </row>
    <row r="69" spans="1:8">
      <c r="A69">
        <v>4736</v>
      </c>
      <c r="C69">
        <v>1</v>
      </c>
      <c r="D69">
        <v>1</v>
      </c>
      <c r="E69">
        <v>1</v>
      </c>
      <c r="F69">
        <v>1</v>
      </c>
      <c r="G69">
        <v>1</v>
      </c>
      <c r="H69">
        <f t="shared" si="1"/>
        <v>5</v>
      </c>
    </row>
    <row r="70" spans="1:8">
      <c r="A70">
        <v>4746</v>
      </c>
      <c r="C70">
        <v>1</v>
      </c>
      <c r="D70">
        <v>1</v>
      </c>
      <c r="E70">
        <v>2</v>
      </c>
      <c r="F70">
        <v>1</v>
      </c>
      <c r="G70">
        <v>0</v>
      </c>
      <c r="H70">
        <f t="shared" si="1"/>
        <v>5</v>
      </c>
    </row>
    <row r="71" spans="1:8">
      <c r="A71">
        <v>4915</v>
      </c>
      <c r="C71">
        <v>1</v>
      </c>
      <c r="D71">
        <v>1</v>
      </c>
      <c r="E71">
        <v>1</v>
      </c>
      <c r="F71">
        <v>1</v>
      </c>
      <c r="G71">
        <v>1</v>
      </c>
      <c r="H71">
        <f t="shared" si="1"/>
        <v>5</v>
      </c>
    </row>
    <row r="72" spans="1:8">
      <c r="A72">
        <v>4950</v>
      </c>
      <c r="C72">
        <v>1</v>
      </c>
      <c r="D72">
        <v>1</v>
      </c>
      <c r="E72">
        <v>2</v>
      </c>
      <c r="F72">
        <v>1</v>
      </c>
      <c r="G72">
        <v>0</v>
      </c>
      <c r="H72">
        <f t="shared" si="1"/>
        <v>5</v>
      </c>
    </row>
    <row r="73" spans="1:8">
      <c r="A73">
        <v>5206</v>
      </c>
      <c r="C73">
        <v>1</v>
      </c>
      <c r="D73">
        <v>1</v>
      </c>
      <c r="E73">
        <v>1</v>
      </c>
      <c r="F73">
        <v>1</v>
      </c>
      <c r="G73">
        <v>1</v>
      </c>
      <c r="H73">
        <f t="shared" si="1"/>
        <v>5</v>
      </c>
    </row>
    <row r="74" spans="1:8">
      <c r="A74">
        <v>5348</v>
      </c>
      <c r="C74">
        <v>1</v>
      </c>
      <c r="D74">
        <v>1</v>
      </c>
      <c r="E74">
        <v>2</v>
      </c>
      <c r="F74">
        <v>1</v>
      </c>
      <c r="G74">
        <v>0</v>
      </c>
      <c r="H74">
        <f t="shared" si="1"/>
        <v>5</v>
      </c>
    </row>
    <row r="75" spans="1:8">
      <c r="A75">
        <v>5388</v>
      </c>
      <c r="C75">
        <v>1</v>
      </c>
      <c r="D75">
        <v>1</v>
      </c>
      <c r="E75">
        <v>1</v>
      </c>
      <c r="F75">
        <v>1</v>
      </c>
      <c r="G75">
        <v>1</v>
      </c>
      <c r="H75">
        <f t="shared" si="1"/>
        <v>5</v>
      </c>
    </row>
    <row r="76" spans="1:8">
      <c r="A76">
        <v>6115</v>
      </c>
      <c r="C76">
        <v>1</v>
      </c>
      <c r="D76">
        <v>1</v>
      </c>
      <c r="E76">
        <v>2</v>
      </c>
      <c r="F76">
        <v>1</v>
      </c>
      <c r="G76">
        <v>0</v>
      </c>
      <c r="H76">
        <f t="shared" si="1"/>
        <v>5</v>
      </c>
    </row>
    <row r="77" spans="1:8">
      <c r="A77">
        <v>6143</v>
      </c>
      <c r="C77">
        <v>1</v>
      </c>
      <c r="D77">
        <v>1</v>
      </c>
      <c r="E77">
        <v>2</v>
      </c>
      <c r="F77">
        <v>1</v>
      </c>
      <c r="G77">
        <v>0</v>
      </c>
      <c r="H77">
        <f t="shared" si="1"/>
        <v>5</v>
      </c>
    </row>
    <row r="78" spans="1:8">
      <c r="A78">
        <v>6168</v>
      </c>
      <c r="C78">
        <v>1</v>
      </c>
      <c r="D78">
        <v>1</v>
      </c>
      <c r="E78">
        <v>2</v>
      </c>
      <c r="F78">
        <v>1</v>
      </c>
      <c r="G78">
        <v>0</v>
      </c>
      <c r="H78">
        <f t="shared" si="1"/>
        <v>5</v>
      </c>
    </row>
    <row r="79" spans="1:8">
      <c r="A79">
        <v>6197</v>
      </c>
      <c r="C79">
        <v>1</v>
      </c>
      <c r="D79">
        <v>1</v>
      </c>
      <c r="E79">
        <v>2</v>
      </c>
      <c r="F79">
        <v>0</v>
      </c>
      <c r="G79">
        <v>1</v>
      </c>
      <c r="H79">
        <f t="shared" si="1"/>
        <v>5</v>
      </c>
    </row>
    <row r="80" spans="1:8">
      <c r="A80">
        <v>6203</v>
      </c>
      <c r="C80">
        <v>1</v>
      </c>
      <c r="D80">
        <v>1</v>
      </c>
      <c r="E80">
        <v>2</v>
      </c>
      <c r="F80">
        <v>1</v>
      </c>
      <c r="G80">
        <v>0</v>
      </c>
      <c r="H80">
        <f t="shared" si="1"/>
        <v>5</v>
      </c>
    </row>
    <row r="81" spans="1:8">
      <c r="A81">
        <v>6205</v>
      </c>
      <c r="C81">
        <v>1</v>
      </c>
      <c r="D81">
        <v>1</v>
      </c>
      <c r="E81">
        <v>2</v>
      </c>
      <c r="F81">
        <v>1</v>
      </c>
      <c r="G81">
        <v>0</v>
      </c>
      <c r="H81">
        <f t="shared" si="1"/>
        <v>5</v>
      </c>
    </row>
    <row r="82" spans="1:8">
      <c r="A82">
        <v>6217</v>
      </c>
      <c r="C82">
        <v>1</v>
      </c>
      <c r="D82">
        <v>1</v>
      </c>
      <c r="E82">
        <v>1</v>
      </c>
      <c r="F82">
        <v>1</v>
      </c>
      <c r="G82">
        <v>1</v>
      </c>
      <c r="H82">
        <f t="shared" si="1"/>
        <v>5</v>
      </c>
    </row>
    <row r="83" spans="1:8">
      <c r="A83">
        <v>6220</v>
      </c>
      <c r="C83">
        <v>1</v>
      </c>
      <c r="D83">
        <v>1</v>
      </c>
      <c r="E83">
        <v>2</v>
      </c>
      <c r="F83">
        <v>0</v>
      </c>
      <c r="G83">
        <v>1</v>
      </c>
      <c r="H83">
        <f t="shared" si="1"/>
        <v>5</v>
      </c>
    </row>
    <row r="84" spans="1:8">
      <c r="A84">
        <v>6229</v>
      </c>
      <c r="C84">
        <v>0</v>
      </c>
      <c r="D84">
        <v>1</v>
      </c>
      <c r="E84">
        <v>2</v>
      </c>
      <c r="F84">
        <v>1</v>
      </c>
      <c r="G84">
        <v>1</v>
      </c>
      <c r="H84">
        <f t="shared" si="1"/>
        <v>5</v>
      </c>
    </row>
    <row r="85" spans="1:8">
      <c r="A85">
        <v>8039</v>
      </c>
      <c r="C85">
        <v>1</v>
      </c>
      <c r="D85">
        <v>1</v>
      </c>
      <c r="E85">
        <v>2</v>
      </c>
      <c r="F85">
        <v>0</v>
      </c>
      <c r="G85">
        <v>1</v>
      </c>
      <c r="H85">
        <f t="shared" si="1"/>
        <v>5</v>
      </c>
    </row>
    <row r="86" spans="1:8">
      <c r="A86">
        <v>8048</v>
      </c>
      <c r="C86">
        <v>1</v>
      </c>
      <c r="D86">
        <v>1</v>
      </c>
      <c r="E86">
        <v>2</v>
      </c>
      <c r="F86">
        <v>1</v>
      </c>
      <c r="G86">
        <v>0</v>
      </c>
      <c r="H86">
        <f t="shared" si="1"/>
        <v>5</v>
      </c>
    </row>
    <row r="87" spans="1:8">
      <c r="A87">
        <v>8049</v>
      </c>
      <c r="C87">
        <v>1</v>
      </c>
      <c r="D87">
        <v>1</v>
      </c>
      <c r="E87">
        <v>2</v>
      </c>
      <c r="F87">
        <v>1</v>
      </c>
      <c r="G87">
        <v>0</v>
      </c>
      <c r="H87">
        <f t="shared" si="1"/>
        <v>5</v>
      </c>
    </row>
    <row r="88" spans="1:8">
      <c r="A88">
        <v>8086</v>
      </c>
      <c r="C88">
        <v>1</v>
      </c>
      <c r="D88">
        <v>1</v>
      </c>
      <c r="E88">
        <v>2</v>
      </c>
      <c r="F88">
        <v>1</v>
      </c>
      <c r="G88">
        <v>0</v>
      </c>
      <c r="H88">
        <f t="shared" si="1"/>
        <v>5</v>
      </c>
    </row>
    <row r="89" spans="1:8">
      <c r="A89">
        <v>8093</v>
      </c>
      <c r="C89">
        <v>1</v>
      </c>
      <c r="D89">
        <v>1</v>
      </c>
      <c r="E89">
        <v>2</v>
      </c>
      <c r="F89">
        <v>1</v>
      </c>
      <c r="G89">
        <v>0</v>
      </c>
      <c r="H89">
        <f t="shared" si="1"/>
        <v>5</v>
      </c>
    </row>
    <row r="90" spans="1:8">
      <c r="A90">
        <v>8097</v>
      </c>
      <c r="C90">
        <v>1</v>
      </c>
      <c r="D90">
        <v>1</v>
      </c>
      <c r="E90">
        <v>2</v>
      </c>
      <c r="F90">
        <v>1</v>
      </c>
      <c r="G90">
        <v>0</v>
      </c>
      <c r="H90">
        <f t="shared" si="1"/>
        <v>5</v>
      </c>
    </row>
    <row r="91" spans="1:8">
      <c r="A91">
        <v>8107</v>
      </c>
      <c r="C91">
        <v>1</v>
      </c>
      <c r="D91">
        <v>1</v>
      </c>
      <c r="E91">
        <v>2</v>
      </c>
      <c r="F91">
        <v>1</v>
      </c>
      <c r="G91">
        <v>0</v>
      </c>
      <c r="H91">
        <f t="shared" si="1"/>
        <v>5</v>
      </c>
    </row>
    <row r="92" spans="1:8">
      <c r="A92">
        <v>8109</v>
      </c>
      <c r="C92">
        <v>1</v>
      </c>
      <c r="D92">
        <v>1</v>
      </c>
      <c r="E92">
        <v>2</v>
      </c>
      <c r="F92">
        <v>1</v>
      </c>
      <c r="G92">
        <v>0</v>
      </c>
      <c r="H92">
        <f t="shared" si="1"/>
        <v>5</v>
      </c>
    </row>
    <row r="93" spans="1:8">
      <c r="A93">
        <v>8176</v>
      </c>
      <c r="C93">
        <v>1</v>
      </c>
      <c r="D93">
        <v>1</v>
      </c>
      <c r="E93">
        <v>2</v>
      </c>
      <c r="F93">
        <v>1</v>
      </c>
      <c r="G93">
        <v>0</v>
      </c>
      <c r="H93">
        <f t="shared" si="1"/>
        <v>5</v>
      </c>
    </row>
    <row r="94" spans="1:8">
      <c r="A94">
        <v>8411</v>
      </c>
      <c r="C94">
        <v>1</v>
      </c>
      <c r="D94">
        <v>1</v>
      </c>
      <c r="E94">
        <v>2</v>
      </c>
      <c r="F94">
        <v>1</v>
      </c>
      <c r="G94">
        <v>0</v>
      </c>
      <c r="H94">
        <f t="shared" si="1"/>
        <v>5</v>
      </c>
    </row>
    <row r="95" spans="1:8">
      <c r="A95">
        <v>8421</v>
      </c>
      <c r="C95">
        <v>1</v>
      </c>
      <c r="D95">
        <v>1</v>
      </c>
      <c r="E95">
        <v>2</v>
      </c>
      <c r="F95">
        <v>1</v>
      </c>
      <c r="G95">
        <v>0</v>
      </c>
      <c r="H95">
        <f t="shared" si="1"/>
        <v>5</v>
      </c>
    </row>
    <row r="96" spans="1:8">
      <c r="A96">
        <v>8422</v>
      </c>
      <c r="C96">
        <v>1</v>
      </c>
      <c r="D96">
        <v>1</v>
      </c>
      <c r="E96">
        <v>2</v>
      </c>
      <c r="F96">
        <v>1</v>
      </c>
      <c r="G96">
        <v>0</v>
      </c>
      <c r="H96">
        <f t="shared" si="1"/>
        <v>5</v>
      </c>
    </row>
    <row r="97" spans="1:8">
      <c r="A97">
        <v>8437</v>
      </c>
      <c r="C97">
        <v>1</v>
      </c>
      <c r="D97">
        <v>1</v>
      </c>
      <c r="E97">
        <v>1</v>
      </c>
      <c r="F97">
        <v>1</v>
      </c>
      <c r="G97">
        <v>1</v>
      </c>
      <c r="H97">
        <f t="shared" si="1"/>
        <v>5</v>
      </c>
    </row>
    <row r="98" spans="1:8">
      <c r="A98">
        <v>8916</v>
      </c>
      <c r="C98">
        <v>1</v>
      </c>
      <c r="D98">
        <v>1</v>
      </c>
      <c r="E98">
        <v>2</v>
      </c>
      <c r="F98">
        <v>1</v>
      </c>
      <c r="G98">
        <v>0</v>
      </c>
      <c r="H98">
        <f t="shared" si="1"/>
        <v>5</v>
      </c>
    </row>
    <row r="99" spans="1:8">
      <c r="A99">
        <v>8937</v>
      </c>
      <c r="C99">
        <v>1</v>
      </c>
      <c r="D99">
        <v>1</v>
      </c>
      <c r="E99">
        <v>2</v>
      </c>
      <c r="F99">
        <v>1</v>
      </c>
      <c r="G99">
        <v>0</v>
      </c>
      <c r="H99">
        <f t="shared" si="1"/>
        <v>5</v>
      </c>
    </row>
    <row r="100" spans="1:8">
      <c r="A100">
        <v>9945</v>
      </c>
      <c r="C100">
        <v>1</v>
      </c>
      <c r="D100">
        <v>1</v>
      </c>
      <c r="E100">
        <v>2</v>
      </c>
      <c r="F100">
        <v>1</v>
      </c>
      <c r="G100">
        <v>0</v>
      </c>
      <c r="H100">
        <f t="shared" si="1"/>
        <v>5</v>
      </c>
    </row>
    <row r="101" spans="1:8">
      <c r="A101">
        <v>9946</v>
      </c>
      <c r="C101">
        <v>1</v>
      </c>
      <c r="D101">
        <v>1</v>
      </c>
      <c r="E101">
        <v>2</v>
      </c>
      <c r="F101">
        <v>1</v>
      </c>
      <c r="G101">
        <v>0</v>
      </c>
      <c r="H101">
        <f t="shared" si="1"/>
        <v>5</v>
      </c>
    </row>
    <row r="102" spans="1:8">
      <c r="A102">
        <v>1213</v>
      </c>
      <c r="C102">
        <v>1</v>
      </c>
      <c r="D102">
        <v>1</v>
      </c>
      <c r="E102">
        <v>2</v>
      </c>
      <c r="F102">
        <v>0</v>
      </c>
      <c r="G102">
        <v>0</v>
      </c>
      <c r="H102">
        <f t="shared" si="1"/>
        <v>4</v>
      </c>
    </row>
    <row r="103" spans="1:8">
      <c r="A103">
        <v>1216</v>
      </c>
      <c r="C103">
        <v>0</v>
      </c>
      <c r="D103">
        <v>1</v>
      </c>
      <c r="E103">
        <v>2</v>
      </c>
      <c r="F103">
        <v>1</v>
      </c>
      <c r="G103">
        <v>0</v>
      </c>
      <c r="H103">
        <f t="shared" si="1"/>
        <v>4</v>
      </c>
    </row>
    <row r="104" spans="1:8">
      <c r="A104">
        <v>1227</v>
      </c>
      <c r="C104">
        <v>0</v>
      </c>
      <c r="D104">
        <v>1</v>
      </c>
      <c r="E104">
        <v>2</v>
      </c>
      <c r="F104">
        <v>1</v>
      </c>
      <c r="G104">
        <v>0</v>
      </c>
      <c r="H104">
        <f t="shared" si="1"/>
        <v>4</v>
      </c>
    </row>
    <row r="105" spans="1:8">
      <c r="A105">
        <v>1315</v>
      </c>
      <c r="C105">
        <v>1</v>
      </c>
      <c r="D105">
        <v>1</v>
      </c>
      <c r="E105">
        <v>1</v>
      </c>
      <c r="F105">
        <v>1</v>
      </c>
      <c r="G105">
        <v>0</v>
      </c>
      <c r="H105">
        <f t="shared" si="1"/>
        <v>4</v>
      </c>
    </row>
    <row r="106" spans="1:8">
      <c r="A106">
        <v>1321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1437</v>
      </c>
      <c r="C107">
        <v>0</v>
      </c>
      <c r="D107">
        <v>1</v>
      </c>
      <c r="E107">
        <v>2</v>
      </c>
      <c r="F107">
        <v>1</v>
      </c>
      <c r="G107">
        <v>0</v>
      </c>
      <c r="H107">
        <f t="shared" si="1"/>
        <v>4</v>
      </c>
    </row>
    <row r="108" spans="1:8">
      <c r="A108">
        <v>1438</v>
      </c>
      <c r="C108">
        <v>0</v>
      </c>
      <c r="D108">
        <v>1</v>
      </c>
      <c r="E108">
        <v>2</v>
      </c>
      <c r="F108">
        <v>1</v>
      </c>
      <c r="G108">
        <v>0</v>
      </c>
      <c r="H108">
        <f t="shared" si="1"/>
        <v>4</v>
      </c>
    </row>
    <row r="109" spans="1:8">
      <c r="A109">
        <v>1446</v>
      </c>
      <c r="C109">
        <v>0</v>
      </c>
      <c r="D109">
        <v>1</v>
      </c>
      <c r="E109">
        <v>2</v>
      </c>
      <c r="F109">
        <v>1</v>
      </c>
      <c r="G109">
        <v>0</v>
      </c>
      <c r="H109">
        <f t="shared" si="1"/>
        <v>4</v>
      </c>
    </row>
    <row r="110" spans="1:8">
      <c r="A110">
        <v>1473</v>
      </c>
      <c r="C110">
        <v>0</v>
      </c>
      <c r="D110">
        <v>1</v>
      </c>
      <c r="E110">
        <v>2</v>
      </c>
      <c r="F110">
        <v>1</v>
      </c>
      <c r="G110">
        <v>0</v>
      </c>
      <c r="H110">
        <f t="shared" si="1"/>
        <v>4</v>
      </c>
    </row>
    <row r="111" spans="1:8">
      <c r="A111">
        <v>1477</v>
      </c>
      <c r="C111">
        <v>0</v>
      </c>
      <c r="D111">
        <v>1</v>
      </c>
      <c r="E111">
        <v>2</v>
      </c>
      <c r="F111">
        <v>1</v>
      </c>
      <c r="G111">
        <v>0</v>
      </c>
      <c r="H111">
        <f t="shared" si="1"/>
        <v>4</v>
      </c>
    </row>
    <row r="112" spans="1:8">
      <c r="A112">
        <v>1532</v>
      </c>
      <c r="C112">
        <v>0</v>
      </c>
      <c r="D112">
        <v>1</v>
      </c>
      <c r="E112">
        <v>2</v>
      </c>
      <c r="F112">
        <v>1</v>
      </c>
      <c r="G112">
        <v>0</v>
      </c>
      <c r="H112">
        <f t="shared" si="1"/>
        <v>4</v>
      </c>
    </row>
    <row r="113" spans="1:8">
      <c r="A113">
        <v>1536</v>
      </c>
      <c r="C113">
        <v>1</v>
      </c>
      <c r="D113">
        <v>1</v>
      </c>
      <c r="E113">
        <v>0</v>
      </c>
      <c r="F113">
        <v>1</v>
      </c>
      <c r="G113">
        <v>1</v>
      </c>
      <c r="H113">
        <f t="shared" si="1"/>
        <v>4</v>
      </c>
    </row>
    <row r="114" spans="1:8">
      <c r="A114">
        <v>1537</v>
      </c>
      <c r="C114">
        <v>1</v>
      </c>
      <c r="D114">
        <v>1</v>
      </c>
      <c r="E114">
        <v>0</v>
      </c>
      <c r="F114">
        <v>1</v>
      </c>
      <c r="G114">
        <v>1</v>
      </c>
      <c r="H114">
        <f t="shared" si="1"/>
        <v>4</v>
      </c>
    </row>
    <row r="115" spans="1:8">
      <c r="A115">
        <v>1539</v>
      </c>
      <c r="C115">
        <v>1</v>
      </c>
      <c r="D115">
        <v>1</v>
      </c>
      <c r="E115">
        <v>1</v>
      </c>
      <c r="F115">
        <v>1</v>
      </c>
      <c r="G115">
        <v>0</v>
      </c>
      <c r="H115">
        <f t="shared" si="1"/>
        <v>4</v>
      </c>
    </row>
    <row r="116" spans="1:8">
      <c r="A116">
        <v>1541</v>
      </c>
      <c r="C116">
        <v>1</v>
      </c>
      <c r="D116">
        <v>1</v>
      </c>
      <c r="E116">
        <v>2</v>
      </c>
      <c r="F116">
        <v>0</v>
      </c>
      <c r="G116">
        <v>0</v>
      </c>
      <c r="H116">
        <f t="shared" si="1"/>
        <v>4</v>
      </c>
    </row>
    <row r="117" spans="1:8">
      <c r="A117">
        <v>1558</v>
      </c>
      <c r="C117">
        <v>1</v>
      </c>
      <c r="D117">
        <v>1</v>
      </c>
      <c r="E117">
        <v>1</v>
      </c>
      <c r="F117">
        <v>1</v>
      </c>
      <c r="G117">
        <v>0</v>
      </c>
      <c r="H117">
        <f t="shared" si="1"/>
        <v>4</v>
      </c>
    </row>
    <row r="118" spans="1:8">
      <c r="A118">
        <v>1560</v>
      </c>
      <c r="C118">
        <v>0</v>
      </c>
      <c r="D118">
        <v>1</v>
      </c>
      <c r="E118">
        <v>2</v>
      </c>
      <c r="F118">
        <v>1</v>
      </c>
      <c r="G118">
        <v>0</v>
      </c>
      <c r="H118">
        <f t="shared" si="1"/>
        <v>4</v>
      </c>
    </row>
    <row r="119" spans="1:8">
      <c r="A119">
        <v>1589</v>
      </c>
      <c r="C119">
        <v>1</v>
      </c>
      <c r="D119">
        <v>1</v>
      </c>
      <c r="E119">
        <v>0</v>
      </c>
      <c r="F119">
        <v>1</v>
      </c>
      <c r="G119">
        <v>1</v>
      </c>
      <c r="H119">
        <f t="shared" si="1"/>
        <v>4</v>
      </c>
    </row>
    <row r="120" spans="1:8">
      <c r="A120">
        <v>1599</v>
      </c>
      <c r="C120">
        <v>1</v>
      </c>
      <c r="D120">
        <v>1</v>
      </c>
      <c r="E120">
        <v>0</v>
      </c>
      <c r="F120">
        <v>1</v>
      </c>
      <c r="G120">
        <v>1</v>
      </c>
      <c r="H120">
        <f t="shared" si="1"/>
        <v>4</v>
      </c>
    </row>
    <row r="121" spans="1:8">
      <c r="A121">
        <v>1704</v>
      </c>
      <c r="C121">
        <v>1</v>
      </c>
      <c r="D121">
        <v>1</v>
      </c>
      <c r="E121">
        <v>2</v>
      </c>
      <c r="F121">
        <v>0</v>
      </c>
      <c r="G121">
        <v>0</v>
      </c>
      <c r="H121">
        <f t="shared" si="1"/>
        <v>4</v>
      </c>
    </row>
    <row r="122" spans="1:8">
      <c r="A122">
        <v>1708</v>
      </c>
      <c r="C122">
        <v>1</v>
      </c>
      <c r="D122">
        <v>1</v>
      </c>
      <c r="E122">
        <v>1</v>
      </c>
      <c r="F122">
        <v>1</v>
      </c>
      <c r="G122">
        <v>0</v>
      </c>
      <c r="H122">
        <f t="shared" si="1"/>
        <v>4</v>
      </c>
    </row>
    <row r="123" spans="1:8">
      <c r="A123">
        <v>1724</v>
      </c>
      <c r="C123">
        <v>1</v>
      </c>
      <c r="D123">
        <v>1</v>
      </c>
      <c r="E123">
        <v>1</v>
      </c>
      <c r="F123">
        <v>1</v>
      </c>
      <c r="G123">
        <v>0</v>
      </c>
      <c r="H123">
        <f t="shared" si="1"/>
        <v>4</v>
      </c>
    </row>
    <row r="124" spans="1:8">
      <c r="A124">
        <v>1729</v>
      </c>
      <c r="C124">
        <v>1</v>
      </c>
      <c r="D124">
        <v>1</v>
      </c>
      <c r="E124">
        <v>2</v>
      </c>
      <c r="F124">
        <v>0</v>
      </c>
      <c r="G124">
        <v>0</v>
      </c>
      <c r="H124">
        <f t="shared" si="1"/>
        <v>4</v>
      </c>
    </row>
    <row r="125" spans="1:8">
      <c r="A125">
        <v>1733</v>
      </c>
      <c r="C125">
        <v>1</v>
      </c>
      <c r="D125">
        <v>1</v>
      </c>
      <c r="E125">
        <v>2</v>
      </c>
      <c r="F125">
        <v>0</v>
      </c>
      <c r="G125">
        <v>0</v>
      </c>
      <c r="H125">
        <f t="shared" si="1"/>
        <v>4</v>
      </c>
    </row>
    <row r="126" spans="1:8">
      <c r="A126">
        <v>1781</v>
      </c>
      <c r="C126">
        <v>0</v>
      </c>
      <c r="D126">
        <v>1</v>
      </c>
      <c r="E126">
        <v>2</v>
      </c>
      <c r="F126">
        <v>1</v>
      </c>
      <c r="G126">
        <v>0</v>
      </c>
      <c r="H126">
        <f t="shared" si="1"/>
        <v>4</v>
      </c>
    </row>
    <row r="127" spans="1:8">
      <c r="A127">
        <v>1795</v>
      </c>
      <c r="C127">
        <v>0</v>
      </c>
      <c r="D127">
        <v>1</v>
      </c>
      <c r="E127">
        <v>2</v>
      </c>
      <c r="F127">
        <v>1</v>
      </c>
      <c r="G127">
        <v>0</v>
      </c>
      <c r="H127">
        <f t="shared" si="1"/>
        <v>4</v>
      </c>
    </row>
    <row r="128" spans="1:8">
      <c r="A128">
        <v>1905</v>
      </c>
      <c r="C128">
        <v>1</v>
      </c>
      <c r="D128">
        <v>1</v>
      </c>
      <c r="E128">
        <v>1</v>
      </c>
      <c r="F128">
        <v>1</v>
      </c>
      <c r="G128">
        <v>0</v>
      </c>
      <c r="H128">
        <f t="shared" si="1"/>
        <v>4</v>
      </c>
    </row>
    <row r="129" spans="1:8">
      <c r="A129">
        <v>2014</v>
      </c>
      <c r="C129">
        <v>0</v>
      </c>
      <c r="D129">
        <v>1</v>
      </c>
      <c r="E129">
        <v>2</v>
      </c>
      <c r="F129">
        <v>1</v>
      </c>
      <c r="G129">
        <v>0</v>
      </c>
      <c r="H129">
        <f t="shared" si="1"/>
        <v>4</v>
      </c>
    </row>
    <row r="130" spans="1:8">
      <c r="A130">
        <v>2059</v>
      </c>
      <c r="C130">
        <v>1</v>
      </c>
      <c r="D130">
        <v>1</v>
      </c>
      <c r="E130">
        <v>1</v>
      </c>
      <c r="F130">
        <v>1</v>
      </c>
      <c r="G130">
        <v>0</v>
      </c>
      <c r="H130">
        <f t="shared" ref="H130:H193" si="2">SUM(C130:G130)</f>
        <v>4</v>
      </c>
    </row>
    <row r="131" spans="1:8">
      <c r="A131">
        <v>2114</v>
      </c>
      <c r="C131">
        <v>1</v>
      </c>
      <c r="D131">
        <v>1</v>
      </c>
      <c r="E131">
        <v>1</v>
      </c>
      <c r="F131">
        <v>1</v>
      </c>
      <c r="G131">
        <v>0</v>
      </c>
      <c r="H131">
        <f t="shared" si="2"/>
        <v>4</v>
      </c>
    </row>
    <row r="132" spans="1:8">
      <c r="A132">
        <v>2208</v>
      </c>
      <c r="C132">
        <v>0</v>
      </c>
      <c r="D132">
        <v>1</v>
      </c>
      <c r="E132">
        <v>2</v>
      </c>
      <c r="F132">
        <v>1</v>
      </c>
      <c r="G132">
        <v>0</v>
      </c>
      <c r="H132">
        <f t="shared" si="2"/>
        <v>4</v>
      </c>
    </row>
    <row r="133" spans="1:8">
      <c r="A133">
        <v>2228</v>
      </c>
      <c r="C133">
        <v>1</v>
      </c>
      <c r="D133">
        <v>1</v>
      </c>
      <c r="E133">
        <v>1</v>
      </c>
      <c r="F133">
        <v>1</v>
      </c>
      <c r="G133">
        <v>0</v>
      </c>
      <c r="H133">
        <f t="shared" si="2"/>
        <v>4</v>
      </c>
    </row>
    <row r="134" spans="1:8">
      <c r="A134">
        <v>2231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2308</v>
      </c>
      <c r="C135">
        <v>1</v>
      </c>
      <c r="D135">
        <v>1</v>
      </c>
      <c r="E135">
        <v>0</v>
      </c>
      <c r="F135">
        <v>1</v>
      </c>
      <c r="G135">
        <v>1</v>
      </c>
      <c r="H135">
        <f t="shared" si="2"/>
        <v>4</v>
      </c>
    </row>
    <row r="136" spans="1:8">
      <c r="A136">
        <v>2314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2331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2345</v>
      </c>
      <c r="C138">
        <v>1</v>
      </c>
      <c r="D138">
        <v>1</v>
      </c>
      <c r="E138">
        <v>1</v>
      </c>
      <c r="F138">
        <v>1</v>
      </c>
      <c r="G138">
        <v>0</v>
      </c>
      <c r="H138">
        <f t="shared" si="2"/>
        <v>4</v>
      </c>
    </row>
    <row r="139" spans="1:8">
      <c r="A139">
        <v>2356</v>
      </c>
      <c r="C139">
        <v>0</v>
      </c>
      <c r="D139">
        <v>1</v>
      </c>
      <c r="E139">
        <v>2</v>
      </c>
      <c r="F139">
        <v>1</v>
      </c>
      <c r="G139">
        <v>0</v>
      </c>
      <c r="H139">
        <f t="shared" si="2"/>
        <v>4</v>
      </c>
    </row>
    <row r="140" spans="1:8">
      <c r="A140">
        <v>2364</v>
      </c>
      <c r="C140">
        <v>1</v>
      </c>
      <c r="D140">
        <v>1</v>
      </c>
      <c r="E140">
        <v>1</v>
      </c>
      <c r="F140">
        <v>1</v>
      </c>
      <c r="G140">
        <v>0</v>
      </c>
      <c r="H140">
        <f t="shared" si="2"/>
        <v>4</v>
      </c>
    </row>
    <row r="141" spans="1:8">
      <c r="A141">
        <v>2376</v>
      </c>
      <c r="C141">
        <v>1</v>
      </c>
      <c r="D141">
        <v>1</v>
      </c>
      <c r="E141">
        <v>2</v>
      </c>
      <c r="F141">
        <v>0</v>
      </c>
      <c r="G141">
        <v>0</v>
      </c>
      <c r="H141">
        <f t="shared" si="2"/>
        <v>4</v>
      </c>
    </row>
    <row r="142" spans="1:8">
      <c r="A142">
        <v>2387</v>
      </c>
      <c r="C142">
        <v>1</v>
      </c>
      <c r="D142">
        <v>1</v>
      </c>
      <c r="E142">
        <v>1</v>
      </c>
      <c r="F142">
        <v>1</v>
      </c>
      <c r="G142">
        <v>0</v>
      </c>
      <c r="H142">
        <f t="shared" si="2"/>
        <v>4</v>
      </c>
    </row>
    <row r="143" spans="1:8">
      <c r="A143">
        <v>2388</v>
      </c>
      <c r="C143">
        <v>1</v>
      </c>
      <c r="D143">
        <v>1</v>
      </c>
      <c r="E143">
        <v>2</v>
      </c>
      <c r="F143">
        <v>0</v>
      </c>
      <c r="G143">
        <v>0</v>
      </c>
      <c r="H143">
        <f t="shared" si="2"/>
        <v>4</v>
      </c>
    </row>
    <row r="144" spans="1:8">
      <c r="A144">
        <v>2405</v>
      </c>
      <c r="C144">
        <v>0</v>
      </c>
      <c r="D144">
        <v>1</v>
      </c>
      <c r="E144">
        <v>2</v>
      </c>
      <c r="F144">
        <v>1</v>
      </c>
      <c r="G144">
        <v>0</v>
      </c>
      <c r="H144">
        <f t="shared" si="2"/>
        <v>4</v>
      </c>
    </row>
    <row r="145" spans="1:8">
      <c r="A145">
        <v>2413</v>
      </c>
      <c r="C145">
        <v>1</v>
      </c>
      <c r="D145">
        <v>1</v>
      </c>
      <c r="E145">
        <v>2</v>
      </c>
      <c r="F145">
        <v>0</v>
      </c>
      <c r="G145">
        <v>0</v>
      </c>
      <c r="H145">
        <f t="shared" si="2"/>
        <v>4</v>
      </c>
    </row>
    <row r="146" spans="1:8">
      <c r="A146">
        <v>2415</v>
      </c>
      <c r="C146">
        <v>0</v>
      </c>
      <c r="D146">
        <v>1</v>
      </c>
      <c r="E146">
        <v>2</v>
      </c>
      <c r="F146">
        <v>1</v>
      </c>
      <c r="G146">
        <v>0</v>
      </c>
      <c r="H146">
        <f t="shared" si="2"/>
        <v>4</v>
      </c>
    </row>
    <row r="147" spans="1:8">
      <c r="A147">
        <v>2419</v>
      </c>
      <c r="C147">
        <v>1</v>
      </c>
      <c r="D147">
        <v>1</v>
      </c>
      <c r="E147">
        <v>1</v>
      </c>
      <c r="F147">
        <v>1</v>
      </c>
      <c r="G147">
        <v>0</v>
      </c>
      <c r="H147">
        <f t="shared" si="2"/>
        <v>4</v>
      </c>
    </row>
    <row r="148" spans="1:8">
      <c r="A148">
        <v>2433</v>
      </c>
      <c r="C148">
        <v>0</v>
      </c>
      <c r="D148">
        <v>1</v>
      </c>
      <c r="E148">
        <v>2</v>
      </c>
      <c r="F148">
        <v>1</v>
      </c>
      <c r="G148">
        <v>0</v>
      </c>
      <c r="H148">
        <f t="shared" si="2"/>
        <v>4</v>
      </c>
    </row>
    <row r="149" spans="1:8">
      <c r="A149">
        <v>2444</v>
      </c>
      <c r="C149">
        <v>1</v>
      </c>
      <c r="D149">
        <v>1</v>
      </c>
      <c r="E149">
        <v>1</v>
      </c>
      <c r="F149">
        <v>1</v>
      </c>
      <c r="G149">
        <v>0</v>
      </c>
      <c r="H149">
        <f t="shared" si="2"/>
        <v>4</v>
      </c>
    </row>
    <row r="150" spans="1:8">
      <c r="A150">
        <v>2456</v>
      </c>
      <c r="C150">
        <v>1</v>
      </c>
      <c r="D150">
        <v>1</v>
      </c>
      <c r="E150">
        <v>0</v>
      </c>
      <c r="F150">
        <v>1</v>
      </c>
      <c r="G150">
        <v>1</v>
      </c>
      <c r="H150">
        <f t="shared" si="2"/>
        <v>4</v>
      </c>
    </row>
    <row r="151" spans="1:8">
      <c r="A151">
        <v>2477</v>
      </c>
      <c r="C151">
        <v>1</v>
      </c>
      <c r="D151">
        <v>1</v>
      </c>
      <c r="E151">
        <v>2</v>
      </c>
      <c r="F151">
        <v>0</v>
      </c>
      <c r="G151">
        <v>0</v>
      </c>
      <c r="H151">
        <f t="shared" si="2"/>
        <v>4</v>
      </c>
    </row>
    <row r="152" spans="1:8">
      <c r="A152">
        <v>2484</v>
      </c>
      <c r="C152">
        <v>1</v>
      </c>
      <c r="D152">
        <v>1</v>
      </c>
      <c r="E152">
        <v>1</v>
      </c>
      <c r="F152">
        <v>1</v>
      </c>
      <c r="G152">
        <v>0</v>
      </c>
      <c r="H152">
        <f t="shared" si="2"/>
        <v>4</v>
      </c>
    </row>
    <row r="153" spans="1:8">
      <c r="A153">
        <v>2488</v>
      </c>
      <c r="C153">
        <v>1</v>
      </c>
      <c r="D153">
        <v>1</v>
      </c>
      <c r="E153">
        <v>1</v>
      </c>
      <c r="F153">
        <v>1</v>
      </c>
      <c r="G153">
        <v>0</v>
      </c>
      <c r="H153">
        <f t="shared" si="2"/>
        <v>4</v>
      </c>
    </row>
    <row r="154" spans="1:8">
      <c r="A154">
        <v>2492</v>
      </c>
      <c r="C154">
        <v>1</v>
      </c>
      <c r="D154">
        <v>1</v>
      </c>
      <c r="E154">
        <v>0</v>
      </c>
      <c r="F154">
        <v>1</v>
      </c>
      <c r="G154">
        <v>1</v>
      </c>
      <c r="H154">
        <f t="shared" si="2"/>
        <v>4</v>
      </c>
    </row>
    <row r="155" spans="1:8">
      <c r="A155">
        <v>2530</v>
      </c>
      <c r="C155">
        <v>1</v>
      </c>
      <c r="D155">
        <v>1</v>
      </c>
      <c r="E155">
        <v>1</v>
      </c>
      <c r="F155">
        <v>1</v>
      </c>
      <c r="G155">
        <v>0</v>
      </c>
      <c r="H155">
        <f t="shared" si="2"/>
        <v>4</v>
      </c>
    </row>
    <row r="156" spans="1:8">
      <c r="A156">
        <v>2610</v>
      </c>
      <c r="C156">
        <v>1</v>
      </c>
      <c r="D156">
        <v>1</v>
      </c>
      <c r="E156">
        <v>1</v>
      </c>
      <c r="F156">
        <v>1</v>
      </c>
      <c r="G156">
        <v>0</v>
      </c>
      <c r="H156">
        <f t="shared" si="2"/>
        <v>4</v>
      </c>
    </row>
    <row r="157" spans="1:8">
      <c r="A157">
        <v>2612</v>
      </c>
      <c r="C157">
        <v>0</v>
      </c>
      <c r="D157">
        <v>1</v>
      </c>
      <c r="E157">
        <v>2</v>
      </c>
      <c r="F157">
        <v>1</v>
      </c>
      <c r="G157">
        <v>0</v>
      </c>
      <c r="H157">
        <f t="shared" si="2"/>
        <v>4</v>
      </c>
    </row>
    <row r="158" spans="1:8">
      <c r="A158">
        <v>2706</v>
      </c>
      <c r="C158">
        <v>1</v>
      </c>
      <c r="D158">
        <v>1</v>
      </c>
      <c r="E158">
        <v>1</v>
      </c>
      <c r="F158">
        <v>1</v>
      </c>
      <c r="G158">
        <v>0</v>
      </c>
      <c r="H158">
        <f t="shared" si="2"/>
        <v>4</v>
      </c>
    </row>
    <row r="159" spans="1:8">
      <c r="A159">
        <v>2732</v>
      </c>
      <c r="C159">
        <v>0</v>
      </c>
      <c r="D159">
        <v>1</v>
      </c>
      <c r="E159">
        <v>2</v>
      </c>
      <c r="F159">
        <v>1</v>
      </c>
      <c r="G159">
        <v>0</v>
      </c>
      <c r="H159">
        <f t="shared" si="2"/>
        <v>4</v>
      </c>
    </row>
    <row r="160" spans="1:8">
      <c r="A160">
        <v>2923</v>
      </c>
      <c r="C160">
        <v>0</v>
      </c>
      <c r="D160">
        <v>0</v>
      </c>
      <c r="E160">
        <v>2</v>
      </c>
      <c r="F160">
        <v>1</v>
      </c>
      <c r="G160">
        <v>1</v>
      </c>
      <c r="H160">
        <f t="shared" si="2"/>
        <v>4</v>
      </c>
    </row>
    <row r="161" spans="1:8">
      <c r="A161">
        <v>3004</v>
      </c>
      <c r="C161">
        <v>1</v>
      </c>
      <c r="D161">
        <v>1</v>
      </c>
      <c r="E161">
        <v>0</v>
      </c>
      <c r="F161">
        <v>1</v>
      </c>
      <c r="G161">
        <v>1</v>
      </c>
      <c r="H161">
        <f t="shared" si="2"/>
        <v>4</v>
      </c>
    </row>
    <row r="162" spans="1:8">
      <c r="A162">
        <v>3019</v>
      </c>
      <c r="C162">
        <v>1</v>
      </c>
      <c r="D162">
        <v>1</v>
      </c>
      <c r="E162">
        <v>1</v>
      </c>
      <c r="F162">
        <v>1</v>
      </c>
      <c r="G162">
        <v>0</v>
      </c>
      <c r="H162">
        <f t="shared" si="2"/>
        <v>4</v>
      </c>
    </row>
    <row r="163" spans="1:8">
      <c r="A163">
        <v>3032</v>
      </c>
      <c r="C163">
        <v>1</v>
      </c>
      <c r="D163">
        <v>1</v>
      </c>
      <c r="E163">
        <v>1</v>
      </c>
      <c r="F163">
        <v>1</v>
      </c>
      <c r="G163">
        <v>0</v>
      </c>
      <c r="H163">
        <f t="shared" si="2"/>
        <v>4</v>
      </c>
    </row>
    <row r="164" spans="1:8">
      <c r="A164">
        <v>3042</v>
      </c>
      <c r="C164">
        <v>1</v>
      </c>
      <c r="D164">
        <v>1</v>
      </c>
      <c r="E164">
        <v>1</v>
      </c>
      <c r="F164">
        <v>1</v>
      </c>
      <c r="G164">
        <v>0</v>
      </c>
      <c r="H164">
        <f t="shared" si="2"/>
        <v>4</v>
      </c>
    </row>
    <row r="165" spans="1:8">
      <c r="A165">
        <v>3045</v>
      </c>
      <c r="C165">
        <v>1</v>
      </c>
      <c r="D165">
        <v>1</v>
      </c>
      <c r="E165">
        <v>1</v>
      </c>
      <c r="F165">
        <v>1</v>
      </c>
      <c r="G165">
        <v>0</v>
      </c>
      <c r="H165">
        <f t="shared" si="2"/>
        <v>4</v>
      </c>
    </row>
    <row r="166" spans="1:8">
      <c r="A166">
        <v>3078</v>
      </c>
      <c r="C166">
        <v>1</v>
      </c>
      <c r="D166">
        <v>1</v>
      </c>
      <c r="E166">
        <v>2</v>
      </c>
      <c r="F166">
        <v>0</v>
      </c>
      <c r="G166">
        <v>0</v>
      </c>
      <c r="H166">
        <f t="shared" si="2"/>
        <v>4</v>
      </c>
    </row>
    <row r="167" spans="1:8">
      <c r="A167">
        <v>3088</v>
      </c>
      <c r="C167">
        <v>1</v>
      </c>
      <c r="D167">
        <v>1</v>
      </c>
      <c r="E167">
        <v>1</v>
      </c>
      <c r="F167">
        <v>1</v>
      </c>
      <c r="G167">
        <v>0</v>
      </c>
      <c r="H167">
        <f t="shared" si="2"/>
        <v>4</v>
      </c>
    </row>
    <row r="168" spans="1:8">
      <c r="A168">
        <v>3093</v>
      </c>
      <c r="C168">
        <v>0</v>
      </c>
      <c r="D168">
        <v>1</v>
      </c>
      <c r="E168">
        <v>2</v>
      </c>
      <c r="F168">
        <v>1</v>
      </c>
      <c r="G168">
        <v>0</v>
      </c>
      <c r="H168">
        <f t="shared" si="2"/>
        <v>4</v>
      </c>
    </row>
    <row r="169" spans="1:8">
      <c r="A169">
        <v>3094</v>
      </c>
      <c r="C169">
        <v>1</v>
      </c>
      <c r="D169">
        <v>1</v>
      </c>
      <c r="E169">
        <v>0</v>
      </c>
      <c r="F169">
        <v>1</v>
      </c>
      <c r="G169">
        <v>1</v>
      </c>
      <c r="H169">
        <f t="shared" si="2"/>
        <v>4</v>
      </c>
    </row>
    <row r="170" spans="1:8">
      <c r="A170">
        <v>3105</v>
      </c>
      <c r="C170">
        <v>1</v>
      </c>
      <c r="D170">
        <v>1</v>
      </c>
      <c r="E170">
        <v>0</v>
      </c>
      <c r="F170">
        <v>1</v>
      </c>
      <c r="G170">
        <v>1</v>
      </c>
      <c r="H170">
        <f t="shared" si="2"/>
        <v>4</v>
      </c>
    </row>
    <row r="171" spans="1:8">
      <c r="A171">
        <v>3114</v>
      </c>
      <c r="C171">
        <v>1</v>
      </c>
      <c r="D171">
        <v>1</v>
      </c>
      <c r="E171">
        <v>0</v>
      </c>
      <c r="F171">
        <v>1</v>
      </c>
      <c r="G171">
        <v>1</v>
      </c>
      <c r="H171">
        <f t="shared" si="2"/>
        <v>4</v>
      </c>
    </row>
    <row r="172" spans="1:8">
      <c r="A172">
        <v>3218</v>
      </c>
      <c r="C172">
        <v>0</v>
      </c>
      <c r="D172">
        <v>1</v>
      </c>
      <c r="E172">
        <v>1</v>
      </c>
      <c r="F172">
        <v>1</v>
      </c>
      <c r="G172">
        <v>1</v>
      </c>
      <c r="H172">
        <f t="shared" si="2"/>
        <v>4</v>
      </c>
    </row>
    <row r="173" spans="1:8">
      <c r="A173">
        <v>3221</v>
      </c>
      <c r="C173">
        <v>1</v>
      </c>
      <c r="D173">
        <v>1</v>
      </c>
      <c r="E173">
        <v>1</v>
      </c>
      <c r="F173">
        <v>1</v>
      </c>
      <c r="G173">
        <v>0</v>
      </c>
      <c r="H173">
        <f t="shared" si="2"/>
        <v>4</v>
      </c>
    </row>
    <row r="174" spans="1:8">
      <c r="A174">
        <v>3264</v>
      </c>
      <c r="C174">
        <v>0</v>
      </c>
      <c r="D174">
        <v>1</v>
      </c>
      <c r="E174">
        <v>2</v>
      </c>
      <c r="F174">
        <v>1</v>
      </c>
      <c r="G174">
        <v>0</v>
      </c>
      <c r="H174">
        <f t="shared" si="2"/>
        <v>4</v>
      </c>
    </row>
    <row r="175" spans="1:8">
      <c r="A175">
        <v>3265</v>
      </c>
      <c r="C175">
        <v>0</v>
      </c>
      <c r="D175">
        <v>0</v>
      </c>
      <c r="E175">
        <v>2</v>
      </c>
      <c r="F175">
        <v>1</v>
      </c>
      <c r="G175">
        <v>1</v>
      </c>
      <c r="H175">
        <f t="shared" si="2"/>
        <v>4</v>
      </c>
    </row>
    <row r="176" spans="1:8">
      <c r="A176">
        <v>3284</v>
      </c>
      <c r="C176">
        <v>1</v>
      </c>
      <c r="D176">
        <v>1</v>
      </c>
      <c r="E176">
        <v>2</v>
      </c>
      <c r="F176">
        <v>0</v>
      </c>
      <c r="G176">
        <v>0</v>
      </c>
      <c r="H176">
        <f t="shared" si="2"/>
        <v>4</v>
      </c>
    </row>
    <row r="177" spans="1:8">
      <c r="A177">
        <v>3285</v>
      </c>
      <c r="C177">
        <v>1</v>
      </c>
      <c r="D177">
        <v>1</v>
      </c>
      <c r="E177">
        <v>1</v>
      </c>
      <c r="F177">
        <v>1</v>
      </c>
      <c r="G177">
        <v>0</v>
      </c>
      <c r="H177">
        <f t="shared" si="2"/>
        <v>4</v>
      </c>
    </row>
    <row r="178" spans="1:8">
      <c r="A178">
        <v>3289</v>
      </c>
      <c r="C178">
        <v>0</v>
      </c>
      <c r="D178">
        <v>1</v>
      </c>
      <c r="E178">
        <v>1</v>
      </c>
      <c r="F178">
        <v>1</v>
      </c>
      <c r="G178">
        <v>1</v>
      </c>
      <c r="H178">
        <f t="shared" si="2"/>
        <v>4</v>
      </c>
    </row>
    <row r="179" spans="1:8">
      <c r="A179">
        <v>3311</v>
      </c>
      <c r="C179">
        <v>1</v>
      </c>
      <c r="D179">
        <v>1</v>
      </c>
      <c r="E179">
        <v>1</v>
      </c>
      <c r="F179">
        <v>1</v>
      </c>
      <c r="G179">
        <v>0</v>
      </c>
      <c r="H179">
        <f t="shared" si="2"/>
        <v>4</v>
      </c>
    </row>
    <row r="180" spans="1:8">
      <c r="A180">
        <v>3313</v>
      </c>
      <c r="C180">
        <v>0</v>
      </c>
      <c r="D180">
        <v>1</v>
      </c>
      <c r="E180">
        <v>2</v>
      </c>
      <c r="F180">
        <v>1</v>
      </c>
      <c r="G180">
        <v>0</v>
      </c>
      <c r="H180">
        <f t="shared" si="2"/>
        <v>4</v>
      </c>
    </row>
    <row r="181" spans="1:8">
      <c r="A181">
        <v>3317</v>
      </c>
      <c r="C181">
        <v>0</v>
      </c>
      <c r="D181">
        <v>1</v>
      </c>
      <c r="E181">
        <v>2</v>
      </c>
      <c r="F181">
        <v>1</v>
      </c>
      <c r="G181">
        <v>0</v>
      </c>
      <c r="H181">
        <f t="shared" si="2"/>
        <v>4</v>
      </c>
    </row>
    <row r="182" spans="1:8">
      <c r="A182">
        <v>3323</v>
      </c>
      <c r="C182">
        <v>0</v>
      </c>
      <c r="D182">
        <v>1</v>
      </c>
      <c r="E182">
        <v>2</v>
      </c>
      <c r="F182">
        <v>1</v>
      </c>
      <c r="G182">
        <v>0</v>
      </c>
      <c r="H182">
        <f t="shared" si="2"/>
        <v>4</v>
      </c>
    </row>
    <row r="183" spans="1:8">
      <c r="A183">
        <v>3324</v>
      </c>
      <c r="C183">
        <v>1</v>
      </c>
      <c r="D183">
        <v>1</v>
      </c>
      <c r="E183">
        <v>2</v>
      </c>
      <c r="F183">
        <v>0</v>
      </c>
      <c r="G183">
        <v>0</v>
      </c>
      <c r="H183">
        <f t="shared" si="2"/>
        <v>4</v>
      </c>
    </row>
    <row r="184" spans="1:8">
      <c r="A184">
        <v>3332</v>
      </c>
      <c r="C184">
        <v>1</v>
      </c>
      <c r="D184">
        <v>1</v>
      </c>
      <c r="E184">
        <v>1</v>
      </c>
      <c r="F184">
        <v>1</v>
      </c>
      <c r="G184">
        <v>0</v>
      </c>
      <c r="H184">
        <f t="shared" si="2"/>
        <v>4</v>
      </c>
    </row>
    <row r="185" spans="1:8">
      <c r="A185">
        <v>3356</v>
      </c>
      <c r="C185">
        <v>0</v>
      </c>
      <c r="D185">
        <v>1</v>
      </c>
      <c r="E185">
        <v>2</v>
      </c>
      <c r="F185">
        <v>1</v>
      </c>
      <c r="G185">
        <v>0</v>
      </c>
      <c r="H185">
        <f t="shared" si="2"/>
        <v>4</v>
      </c>
    </row>
    <row r="186" spans="1:8">
      <c r="A186">
        <v>3372</v>
      </c>
      <c r="C186">
        <v>0</v>
      </c>
      <c r="D186">
        <v>1</v>
      </c>
      <c r="E186">
        <v>2</v>
      </c>
      <c r="F186">
        <v>1</v>
      </c>
      <c r="G186">
        <v>0</v>
      </c>
      <c r="H186">
        <f t="shared" si="2"/>
        <v>4</v>
      </c>
    </row>
    <row r="187" spans="1:8">
      <c r="A187">
        <v>3373</v>
      </c>
      <c r="C187">
        <v>1</v>
      </c>
      <c r="D187">
        <v>1</v>
      </c>
      <c r="E187">
        <v>0</v>
      </c>
      <c r="F187">
        <v>1</v>
      </c>
      <c r="G187">
        <v>1</v>
      </c>
      <c r="H187">
        <f t="shared" si="2"/>
        <v>4</v>
      </c>
    </row>
    <row r="188" spans="1:8">
      <c r="A188">
        <v>3434</v>
      </c>
      <c r="C188">
        <v>1</v>
      </c>
      <c r="D188">
        <v>1</v>
      </c>
      <c r="E188">
        <v>2</v>
      </c>
      <c r="F188">
        <v>0</v>
      </c>
      <c r="G188">
        <v>0</v>
      </c>
      <c r="H188">
        <f t="shared" si="2"/>
        <v>4</v>
      </c>
    </row>
    <row r="189" spans="1:8">
      <c r="A189">
        <v>3452</v>
      </c>
      <c r="C189">
        <v>0</v>
      </c>
      <c r="D189">
        <v>1</v>
      </c>
      <c r="E189">
        <v>2</v>
      </c>
      <c r="F189">
        <v>1</v>
      </c>
      <c r="G189">
        <v>0</v>
      </c>
      <c r="H189">
        <f t="shared" si="2"/>
        <v>4</v>
      </c>
    </row>
    <row r="190" spans="1:8">
      <c r="A190">
        <v>3492</v>
      </c>
      <c r="C190">
        <v>1</v>
      </c>
      <c r="D190">
        <v>1</v>
      </c>
      <c r="E190">
        <v>0</v>
      </c>
      <c r="F190">
        <v>1</v>
      </c>
      <c r="G190">
        <v>1</v>
      </c>
      <c r="H190">
        <f t="shared" si="2"/>
        <v>4</v>
      </c>
    </row>
    <row r="191" spans="1:8">
      <c r="A191">
        <v>3498</v>
      </c>
      <c r="C191">
        <v>1</v>
      </c>
      <c r="D191">
        <v>1</v>
      </c>
      <c r="E191">
        <v>1</v>
      </c>
      <c r="F191">
        <v>1</v>
      </c>
      <c r="G191">
        <v>0</v>
      </c>
      <c r="H191">
        <f t="shared" si="2"/>
        <v>4</v>
      </c>
    </row>
    <row r="192" spans="1:8">
      <c r="A192">
        <v>3511</v>
      </c>
      <c r="C192">
        <v>0</v>
      </c>
      <c r="D192">
        <v>1</v>
      </c>
      <c r="E192">
        <v>2</v>
      </c>
      <c r="F192">
        <v>1</v>
      </c>
      <c r="G192">
        <v>0</v>
      </c>
      <c r="H192">
        <f t="shared" si="2"/>
        <v>4</v>
      </c>
    </row>
    <row r="193" spans="1:8">
      <c r="A193">
        <v>3512</v>
      </c>
      <c r="C193">
        <v>1</v>
      </c>
      <c r="D193">
        <v>1</v>
      </c>
      <c r="E193">
        <v>2</v>
      </c>
      <c r="F193">
        <v>0</v>
      </c>
      <c r="G193">
        <v>0</v>
      </c>
      <c r="H193">
        <f t="shared" si="2"/>
        <v>4</v>
      </c>
    </row>
    <row r="194" spans="1:8">
      <c r="A194">
        <v>3520</v>
      </c>
      <c r="C194">
        <v>1</v>
      </c>
      <c r="D194">
        <v>1</v>
      </c>
      <c r="E194">
        <v>1</v>
      </c>
      <c r="F194">
        <v>1</v>
      </c>
      <c r="G194">
        <v>0</v>
      </c>
      <c r="H194">
        <f t="shared" ref="H194:H257" si="3">SUM(C194:G194)</f>
        <v>4</v>
      </c>
    </row>
    <row r="195" spans="1:8">
      <c r="A195">
        <v>3526</v>
      </c>
      <c r="C195">
        <v>0</v>
      </c>
      <c r="D195">
        <v>1</v>
      </c>
      <c r="E195">
        <v>2</v>
      </c>
      <c r="F195">
        <v>1</v>
      </c>
      <c r="G195">
        <v>0</v>
      </c>
      <c r="H195">
        <f t="shared" si="3"/>
        <v>4</v>
      </c>
    </row>
    <row r="196" spans="1:8">
      <c r="A196">
        <v>3536</v>
      </c>
      <c r="C196">
        <v>1</v>
      </c>
      <c r="D196">
        <v>1</v>
      </c>
      <c r="E196">
        <v>1</v>
      </c>
      <c r="F196">
        <v>1</v>
      </c>
      <c r="G196">
        <v>0</v>
      </c>
      <c r="H196">
        <f t="shared" si="3"/>
        <v>4</v>
      </c>
    </row>
    <row r="197" spans="1:8">
      <c r="A197">
        <v>3548</v>
      </c>
      <c r="C197">
        <v>1</v>
      </c>
      <c r="D197">
        <v>1</v>
      </c>
      <c r="E197">
        <v>1</v>
      </c>
      <c r="F197">
        <v>1</v>
      </c>
      <c r="G197">
        <v>0</v>
      </c>
      <c r="H197">
        <f t="shared" si="3"/>
        <v>4</v>
      </c>
    </row>
    <row r="198" spans="1:8">
      <c r="A198">
        <v>3561</v>
      </c>
      <c r="C198">
        <v>0</v>
      </c>
      <c r="D198">
        <v>1</v>
      </c>
      <c r="E198">
        <v>2</v>
      </c>
      <c r="F198">
        <v>1</v>
      </c>
      <c r="G198">
        <v>0</v>
      </c>
      <c r="H198">
        <f t="shared" si="3"/>
        <v>4</v>
      </c>
    </row>
    <row r="199" spans="1:8">
      <c r="A199">
        <v>3573</v>
      </c>
      <c r="C199">
        <v>1</v>
      </c>
      <c r="D199">
        <v>1</v>
      </c>
      <c r="E199">
        <v>2</v>
      </c>
      <c r="F199">
        <v>0</v>
      </c>
      <c r="G199">
        <v>0</v>
      </c>
      <c r="H199">
        <f t="shared" si="3"/>
        <v>4</v>
      </c>
    </row>
    <row r="200" spans="1:8">
      <c r="A200">
        <v>3587</v>
      </c>
      <c r="C200">
        <v>0</v>
      </c>
      <c r="D200">
        <v>1</v>
      </c>
      <c r="E200">
        <v>1</v>
      </c>
      <c r="F200">
        <v>1</v>
      </c>
      <c r="G200">
        <v>1</v>
      </c>
      <c r="H200">
        <f t="shared" si="3"/>
        <v>4</v>
      </c>
    </row>
    <row r="201" spans="1:8">
      <c r="A201">
        <v>3605</v>
      </c>
      <c r="C201">
        <v>0</v>
      </c>
      <c r="D201">
        <v>1</v>
      </c>
      <c r="E201">
        <v>2</v>
      </c>
      <c r="F201">
        <v>1</v>
      </c>
      <c r="G201">
        <v>0</v>
      </c>
      <c r="H201">
        <f t="shared" si="3"/>
        <v>4</v>
      </c>
    </row>
    <row r="202" spans="1:8">
      <c r="A202">
        <v>3615</v>
      </c>
      <c r="C202">
        <v>1</v>
      </c>
      <c r="D202">
        <v>1</v>
      </c>
      <c r="E202">
        <v>1</v>
      </c>
      <c r="F202">
        <v>1</v>
      </c>
      <c r="G202">
        <v>0</v>
      </c>
      <c r="H202">
        <f t="shared" si="3"/>
        <v>4</v>
      </c>
    </row>
    <row r="203" spans="1:8">
      <c r="A203">
        <v>3632</v>
      </c>
      <c r="C203">
        <v>1</v>
      </c>
      <c r="D203">
        <v>1</v>
      </c>
      <c r="E203">
        <v>2</v>
      </c>
      <c r="F203">
        <v>0</v>
      </c>
      <c r="G203">
        <v>0</v>
      </c>
      <c r="H203">
        <f t="shared" si="3"/>
        <v>4</v>
      </c>
    </row>
    <row r="204" spans="1:8">
      <c r="A204">
        <v>3669</v>
      </c>
      <c r="C204">
        <v>1</v>
      </c>
      <c r="D204">
        <v>1</v>
      </c>
      <c r="E204">
        <v>2</v>
      </c>
      <c r="F204">
        <v>0</v>
      </c>
      <c r="G204">
        <v>0</v>
      </c>
      <c r="H204">
        <f t="shared" si="3"/>
        <v>4</v>
      </c>
    </row>
    <row r="205" spans="1:8">
      <c r="A205">
        <v>3675</v>
      </c>
      <c r="C205">
        <v>1</v>
      </c>
      <c r="D205">
        <v>1</v>
      </c>
      <c r="E205">
        <v>1</v>
      </c>
      <c r="F205">
        <v>1</v>
      </c>
      <c r="G205">
        <v>0</v>
      </c>
      <c r="H205">
        <f t="shared" si="3"/>
        <v>4</v>
      </c>
    </row>
    <row r="206" spans="1:8">
      <c r="A206">
        <v>3693</v>
      </c>
      <c r="C206">
        <v>1</v>
      </c>
      <c r="D206">
        <v>1</v>
      </c>
      <c r="E206">
        <v>1</v>
      </c>
      <c r="F206">
        <v>1</v>
      </c>
      <c r="G206">
        <v>0</v>
      </c>
      <c r="H206">
        <f t="shared" si="3"/>
        <v>4</v>
      </c>
    </row>
    <row r="207" spans="1:8">
      <c r="A207">
        <v>4108</v>
      </c>
      <c r="C207">
        <v>0</v>
      </c>
      <c r="D207">
        <v>1</v>
      </c>
      <c r="E207">
        <v>1</v>
      </c>
      <c r="F207">
        <v>2</v>
      </c>
      <c r="G207">
        <v>0</v>
      </c>
      <c r="H207">
        <f t="shared" si="3"/>
        <v>4</v>
      </c>
    </row>
    <row r="208" spans="1:8">
      <c r="A208">
        <v>4120</v>
      </c>
      <c r="C208">
        <v>0</v>
      </c>
      <c r="D208">
        <v>1</v>
      </c>
      <c r="E208">
        <v>2</v>
      </c>
      <c r="F208">
        <v>1</v>
      </c>
      <c r="G208">
        <v>0</v>
      </c>
      <c r="H208">
        <f t="shared" si="3"/>
        <v>4</v>
      </c>
    </row>
    <row r="209" spans="1:8">
      <c r="A209">
        <v>4126</v>
      </c>
      <c r="C209">
        <v>1</v>
      </c>
      <c r="D209">
        <v>1</v>
      </c>
      <c r="E209">
        <v>1</v>
      </c>
      <c r="F209">
        <v>1</v>
      </c>
      <c r="G209">
        <v>0</v>
      </c>
      <c r="H209">
        <f t="shared" si="3"/>
        <v>4</v>
      </c>
    </row>
    <row r="210" spans="1:8">
      <c r="A210">
        <v>4162</v>
      </c>
      <c r="C210">
        <v>0</v>
      </c>
      <c r="D210">
        <v>1</v>
      </c>
      <c r="E210">
        <v>1</v>
      </c>
      <c r="F210">
        <v>1</v>
      </c>
      <c r="G210">
        <v>1</v>
      </c>
      <c r="H210">
        <f t="shared" si="3"/>
        <v>4</v>
      </c>
    </row>
    <row r="211" spans="1:8">
      <c r="A211">
        <v>4198</v>
      </c>
      <c r="C211">
        <v>1</v>
      </c>
      <c r="D211">
        <v>1</v>
      </c>
      <c r="E211">
        <v>2</v>
      </c>
      <c r="F211">
        <v>0</v>
      </c>
      <c r="G211">
        <v>0</v>
      </c>
      <c r="H211">
        <f t="shared" si="3"/>
        <v>4</v>
      </c>
    </row>
    <row r="212" spans="1:8">
      <c r="A212">
        <v>4205</v>
      </c>
      <c r="C212">
        <v>1</v>
      </c>
      <c r="D212">
        <v>1</v>
      </c>
      <c r="E212">
        <v>0</v>
      </c>
      <c r="F212">
        <v>1</v>
      </c>
      <c r="G212">
        <v>1</v>
      </c>
      <c r="H212">
        <f t="shared" si="3"/>
        <v>4</v>
      </c>
    </row>
    <row r="213" spans="1:8">
      <c r="A213">
        <v>4305</v>
      </c>
      <c r="C213">
        <v>1</v>
      </c>
      <c r="D213">
        <v>1</v>
      </c>
      <c r="E213">
        <v>1</v>
      </c>
      <c r="F213">
        <v>1</v>
      </c>
      <c r="G213">
        <v>0</v>
      </c>
      <c r="H213">
        <f t="shared" si="3"/>
        <v>4</v>
      </c>
    </row>
    <row r="214" spans="1:8">
      <c r="A214">
        <v>4413</v>
      </c>
      <c r="C214">
        <v>1</v>
      </c>
      <c r="D214">
        <v>1</v>
      </c>
      <c r="E214">
        <v>1</v>
      </c>
      <c r="F214">
        <v>0</v>
      </c>
      <c r="G214">
        <v>1</v>
      </c>
      <c r="H214">
        <f t="shared" si="3"/>
        <v>4</v>
      </c>
    </row>
    <row r="215" spans="1:8">
      <c r="A215">
        <v>4426</v>
      </c>
      <c r="C215">
        <v>1</v>
      </c>
      <c r="D215">
        <v>1</v>
      </c>
      <c r="E215">
        <v>0</v>
      </c>
      <c r="F215">
        <v>1</v>
      </c>
      <c r="G215">
        <v>1</v>
      </c>
      <c r="H215">
        <f t="shared" si="3"/>
        <v>4</v>
      </c>
    </row>
    <row r="216" spans="1:8">
      <c r="A216">
        <v>4529</v>
      </c>
      <c r="C216">
        <v>1</v>
      </c>
      <c r="D216">
        <v>1</v>
      </c>
      <c r="E216">
        <v>2</v>
      </c>
      <c r="F216">
        <v>0</v>
      </c>
      <c r="G216">
        <v>0</v>
      </c>
      <c r="H216">
        <f t="shared" si="3"/>
        <v>4</v>
      </c>
    </row>
    <row r="217" spans="1:8">
      <c r="A217">
        <v>4534</v>
      </c>
      <c r="C217">
        <v>1</v>
      </c>
      <c r="D217">
        <v>1</v>
      </c>
      <c r="E217">
        <v>1</v>
      </c>
      <c r="F217">
        <v>1</v>
      </c>
      <c r="G217">
        <v>0</v>
      </c>
      <c r="H217">
        <f t="shared" si="3"/>
        <v>4</v>
      </c>
    </row>
    <row r="218" spans="1:8">
      <c r="A218">
        <v>4535</v>
      </c>
      <c r="C218">
        <v>1</v>
      </c>
      <c r="D218">
        <v>1</v>
      </c>
      <c r="E218">
        <v>1</v>
      </c>
      <c r="F218">
        <v>1</v>
      </c>
      <c r="G218">
        <v>0</v>
      </c>
      <c r="H218">
        <f t="shared" si="3"/>
        <v>4</v>
      </c>
    </row>
    <row r="219" spans="1:8">
      <c r="A219">
        <v>4542</v>
      </c>
      <c r="C219">
        <v>0</v>
      </c>
      <c r="D219">
        <v>1</v>
      </c>
      <c r="E219">
        <v>2</v>
      </c>
      <c r="F219">
        <v>1</v>
      </c>
      <c r="G219">
        <v>0</v>
      </c>
      <c r="H219">
        <f t="shared" si="3"/>
        <v>4</v>
      </c>
    </row>
    <row r="220" spans="1:8">
      <c r="A220">
        <v>4549</v>
      </c>
      <c r="C220">
        <v>0</v>
      </c>
      <c r="D220">
        <v>1</v>
      </c>
      <c r="E220">
        <v>2</v>
      </c>
      <c r="F220">
        <v>1</v>
      </c>
      <c r="G220">
        <v>0</v>
      </c>
      <c r="H220">
        <f t="shared" si="3"/>
        <v>4</v>
      </c>
    </row>
    <row r="221" spans="1:8">
      <c r="A221">
        <v>4609</v>
      </c>
      <c r="C221">
        <v>1</v>
      </c>
      <c r="D221">
        <v>1</v>
      </c>
      <c r="E221">
        <v>2</v>
      </c>
      <c r="F221">
        <v>0</v>
      </c>
      <c r="G221">
        <v>0</v>
      </c>
      <c r="H221">
        <f t="shared" si="3"/>
        <v>4</v>
      </c>
    </row>
    <row r="222" spans="1:8">
      <c r="A222">
        <v>4706</v>
      </c>
      <c r="C222">
        <v>1</v>
      </c>
      <c r="D222">
        <v>1</v>
      </c>
      <c r="E222">
        <v>1</v>
      </c>
      <c r="F222">
        <v>1</v>
      </c>
      <c r="G222">
        <v>0</v>
      </c>
      <c r="H222">
        <f t="shared" si="3"/>
        <v>4</v>
      </c>
    </row>
    <row r="223" spans="1:8">
      <c r="A223">
        <v>4728</v>
      </c>
      <c r="C223">
        <v>0</v>
      </c>
      <c r="D223">
        <v>1</v>
      </c>
      <c r="E223">
        <v>2</v>
      </c>
      <c r="F223">
        <v>1</v>
      </c>
      <c r="G223">
        <v>0</v>
      </c>
      <c r="H223">
        <f t="shared" si="3"/>
        <v>4</v>
      </c>
    </row>
    <row r="224" spans="1:8">
      <c r="A224">
        <v>4905</v>
      </c>
      <c r="C224">
        <v>1</v>
      </c>
      <c r="D224">
        <v>1</v>
      </c>
      <c r="E224">
        <v>1</v>
      </c>
      <c r="F224">
        <v>1</v>
      </c>
      <c r="G224">
        <v>0</v>
      </c>
      <c r="H224">
        <f t="shared" si="3"/>
        <v>4</v>
      </c>
    </row>
    <row r="225" spans="1:8">
      <c r="A225">
        <v>4906</v>
      </c>
      <c r="C225">
        <v>1</v>
      </c>
      <c r="D225">
        <v>1</v>
      </c>
      <c r="E225">
        <v>1</v>
      </c>
      <c r="F225">
        <v>1</v>
      </c>
      <c r="G225">
        <v>0</v>
      </c>
      <c r="H225">
        <f t="shared" si="3"/>
        <v>4</v>
      </c>
    </row>
    <row r="226" spans="1:8">
      <c r="A226">
        <v>4916</v>
      </c>
      <c r="C226">
        <v>1</v>
      </c>
      <c r="D226">
        <v>1</v>
      </c>
      <c r="E226">
        <v>2</v>
      </c>
      <c r="F226">
        <v>0</v>
      </c>
      <c r="G226">
        <v>0</v>
      </c>
      <c r="H226">
        <f t="shared" si="3"/>
        <v>4</v>
      </c>
    </row>
    <row r="227" spans="1:8">
      <c r="A227">
        <v>4934</v>
      </c>
      <c r="C227">
        <v>0</v>
      </c>
      <c r="D227">
        <v>1</v>
      </c>
      <c r="E227">
        <v>2</v>
      </c>
      <c r="F227">
        <v>1</v>
      </c>
      <c r="G227">
        <v>0</v>
      </c>
      <c r="H227">
        <f t="shared" si="3"/>
        <v>4</v>
      </c>
    </row>
    <row r="228" spans="1:8">
      <c r="A228">
        <v>4947</v>
      </c>
      <c r="C228">
        <v>1</v>
      </c>
      <c r="D228">
        <v>1</v>
      </c>
      <c r="E228">
        <v>1</v>
      </c>
      <c r="F228">
        <v>0</v>
      </c>
      <c r="G228">
        <v>1</v>
      </c>
      <c r="H228">
        <f t="shared" si="3"/>
        <v>4</v>
      </c>
    </row>
    <row r="229" spans="1:8">
      <c r="A229">
        <v>4973</v>
      </c>
      <c r="C229">
        <v>0</v>
      </c>
      <c r="D229">
        <v>1</v>
      </c>
      <c r="E229">
        <v>2</v>
      </c>
      <c r="F229">
        <v>1</v>
      </c>
      <c r="G229">
        <v>0</v>
      </c>
      <c r="H229">
        <f t="shared" si="3"/>
        <v>4</v>
      </c>
    </row>
    <row r="230" spans="1:8">
      <c r="A230">
        <v>4977</v>
      </c>
      <c r="C230">
        <v>0</v>
      </c>
      <c r="D230">
        <v>1</v>
      </c>
      <c r="E230">
        <v>2</v>
      </c>
      <c r="F230">
        <v>1</v>
      </c>
      <c r="G230">
        <v>0</v>
      </c>
      <c r="H230">
        <f t="shared" si="3"/>
        <v>4</v>
      </c>
    </row>
    <row r="231" spans="1:8">
      <c r="A231">
        <v>4984</v>
      </c>
      <c r="C231">
        <v>1</v>
      </c>
      <c r="D231">
        <v>1</v>
      </c>
      <c r="E231">
        <v>1</v>
      </c>
      <c r="F231">
        <v>1</v>
      </c>
      <c r="G231">
        <v>0</v>
      </c>
      <c r="H231">
        <f t="shared" si="3"/>
        <v>4</v>
      </c>
    </row>
    <row r="232" spans="1:8">
      <c r="A232">
        <v>4991</v>
      </c>
      <c r="C232">
        <v>1</v>
      </c>
      <c r="D232">
        <v>1</v>
      </c>
      <c r="E232">
        <v>0</v>
      </c>
      <c r="F232">
        <v>1</v>
      </c>
      <c r="G232">
        <v>1</v>
      </c>
      <c r="H232">
        <f t="shared" si="3"/>
        <v>4</v>
      </c>
    </row>
    <row r="233" spans="1:8">
      <c r="A233">
        <v>4994</v>
      </c>
      <c r="C233">
        <v>0</v>
      </c>
      <c r="D233">
        <v>1</v>
      </c>
      <c r="E233">
        <v>2</v>
      </c>
      <c r="F233">
        <v>1</v>
      </c>
      <c r="G233">
        <v>0</v>
      </c>
      <c r="H233">
        <f t="shared" si="3"/>
        <v>4</v>
      </c>
    </row>
    <row r="234" spans="1:8">
      <c r="A234">
        <v>4999</v>
      </c>
      <c r="C234">
        <v>0</v>
      </c>
      <c r="D234">
        <v>1</v>
      </c>
      <c r="E234">
        <v>2</v>
      </c>
      <c r="F234">
        <v>1</v>
      </c>
      <c r="G234">
        <v>0</v>
      </c>
      <c r="H234">
        <f t="shared" si="3"/>
        <v>4</v>
      </c>
    </row>
    <row r="235" spans="1:8">
      <c r="A235">
        <v>5201</v>
      </c>
      <c r="C235">
        <v>1</v>
      </c>
      <c r="D235">
        <v>1</v>
      </c>
      <c r="E235">
        <v>2</v>
      </c>
      <c r="F235">
        <v>0</v>
      </c>
      <c r="G235">
        <v>0</v>
      </c>
      <c r="H235">
        <f t="shared" si="3"/>
        <v>4</v>
      </c>
    </row>
    <row r="236" spans="1:8">
      <c r="A236">
        <v>5215</v>
      </c>
      <c r="C236">
        <v>0</v>
      </c>
      <c r="D236">
        <v>1</v>
      </c>
      <c r="E236">
        <v>2</v>
      </c>
      <c r="F236">
        <v>1</v>
      </c>
      <c r="G236">
        <v>0</v>
      </c>
      <c r="H236">
        <f t="shared" si="3"/>
        <v>4</v>
      </c>
    </row>
    <row r="237" spans="1:8">
      <c r="A237">
        <v>5225</v>
      </c>
      <c r="C237">
        <v>1</v>
      </c>
      <c r="D237">
        <v>1</v>
      </c>
      <c r="E237">
        <v>0</v>
      </c>
      <c r="F237">
        <v>1</v>
      </c>
      <c r="G237">
        <v>1</v>
      </c>
      <c r="H237">
        <f t="shared" si="3"/>
        <v>4</v>
      </c>
    </row>
    <row r="238" spans="1:8">
      <c r="A238">
        <v>5227</v>
      </c>
      <c r="C238">
        <v>1</v>
      </c>
      <c r="D238">
        <v>1</v>
      </c>
      <c r="E238">
        <v>2</v>
      </c>
      <c r="F238">
        <v>0</v>
      </c>
      <c r="G238">
        <v>0</v>
      </c>
      <c r="H238">
        <f t="shared" si="3"/>
        <v>4</v>
      </c>
    </row>
    <row r="239" spans="1:8">
      <c r="A239">
        <v>5284</v>
      </c>
      <c r="C239">
        <v>1</v>
      </c>
      <c r="D239">
        <v>1</v>
      </c>
      <c r="E239">
        <v>1</v>
      </c>
      <c r="F239">
        <v>1</v>
      </c>
      <c r="G239">
        <v>0</v>
      </c>
      <c r="H239">
        <f t="shared" si="3"/>
        <v>4</v>
      </c>
    </row>
    <row r="240" spans="1:8">
      <c r="A240">
        <v>5285</v>
      </c>
      <c r="C240">
        <v>1</v>
      </c>
      <c r="D240">
        <v>1</v>
      </c>
      <c r="E240">
        <v>1</v>
      </c>
      <c r="F240">
        <v>1</v>
      </c>
      <c r="G240">
        <v>0</v>
      </c>
      <c r="H240">
        <f t="shared" si="3"/>
        <v>4</v>
      </c>
    </row>
    <row r="241" spans="1:8">
      <c r="A241">
        <v>5288</v>
      </c>
      <c r="C241">
        <v>1</v>
      </c>
      <c r="D241">
        <v>1</v>
      </c>
      <c r="E241">
        <v>1</v>
      </c>
      <c r="F241">
        <v>1</v>
      </c>
      <c r="G241">
        <v>0</v>
      </c>
      <c r="H241">
        <f t="shared" si="3"/>
        <v>4</v>
      </c>
    </row>
    <row r="242" spans="1:8">
      <c r="A242">
        <v>5289</v>
      </c>
      <c r="C242">
        <v>0</v>
      </c>
      <c r="D242">
        <v>1</v>
      </c>
      <c r="E242">
        <v>2</v>
      </c>
      <c r="F242">
        <v>1</v>
      </c>
      <c r="G242">
        <v>0</v>
      </c>
      <c r="H242">
        <f t="shared" si="3"/>
        <v>4</v>
      </c>
    </row>
    <row r="243" spans="1:8">
      <c r="A243">
        <v>5304</v>
      </c>
      <c r="C243">
        <v>1</v>
      </c>
      <c r="D243">
        <v>1</v>
      </c>
      <c r="E243">
        <v>0</v>
      </c>
      <c r="F243">
        <v>1</v>
      </c>
      <c r="G243">
        <v>1</v>
      </c>
      <c r="H243">
        <f t="shared" si="3"/>
        <v>4</v>
      </c>
    </row>
    <row r="244" spans="1:8">
      <c r="A244">
        <v>5306</v>
      </c>
      <c r="C244">
        <v>1</v>
      </c>
      <c r="D244">
        <v>1</v>
      </c>
      <c r="E244">
        <v>1</v>
      </c>
      <c r="F244">
        <v>1</v>
      </c>
      <c r="G244">
        <v>0</v>
      </c>
      <c r="H244">
        <f t="shared" si="3"/>
        <v>4</v>
      </c>
    </row>
    <row r="245" spans="1:8">
      <c r="A245">
        <v>5312</v>
      </c>
      <c r="C245">
        <v>1</v>
      </c>
      <c r="D245">
        <v>1</v>
      </c>
      <c r="E245">
        <v>0</v>
      </c>
      <c r="F245">
        <v>1</v>
      </c>
      <c r="G245">
        <v>1</v>
      </c>
      <c r="H245">
        <f t="shared" si="3"/>
        <v>4</v>
      </c>
    </row>
    <row r="246" spans="1:8">
      <c r="A246">
        <v>5344</v>
      </c>
      <c r="C246">
        <v>0</v>
      </c>
      <c r="D246">
        <v>1</v>
      </c>
      <c r="E246">
        <v>2</v>
      </c>
      <c r="F246">
        <v>1</v>
      </c>
      <c r="G246">
        <v>0</v>
      </c>
      <c r="H246">
        <f t="shared" si="3"/>
        <v>4</v>
      </c>
    </row>
    <row r="247" spans="1:8">
      <c r="A247">
        <v>5353</v>
      </c>
      <c r="C247">
        <v>1</v>
      </c>
      <c r="D247">
        <v>1</v>
      </c>
      <c r="E247">
        <v>1</v>
      </c>
      <c r="F247">
        <v>1</v>
      </c>
      <c r="G247">
        <v>0</v>
      </c>
      <c r="H247">
        <f t="shared" si="3"/>
        <v>4</v>
      </c>
    </row>
    <row r="248" spans="1:8">
      <c r="A248">
        <v>5438</v>
      </c>
      <c r="C248">
        <v>1</v>
      </c>
      <c r="D248">
        <v>1</v>
      </c>
      <c r="E248">
        <v>1</v>
      </c>
      <c r="F248">
        <v>1</v>
      </c>
      <c r="G248">
        <v>0</v>
      </c>
      <c r="H248">
        <f t="shared" si="3"/>
        <v>4</v>
      </c>
    </row>
    <row r="249" spans="1:8">
      <c r="A249">
        <v>5443</v>
      </c>
      <c r="C249">
        <v>1</v>
      </c>
      <c r="D249">
        <v>1</v>
      </c>
      <c r="E249">
        <v>0</v>
      </c>
      <c r="F249">
        <v>1</v>
      </c>
      <c r="G249">
        <v>1</v>
      </c>
      <c r="H249">
        <f t="shared" si="3"/>
        <v>4</v>
      </c>
    </row>
    <row r="250" spans="1:8">
      <c r="A250">
        <v>5474</v>
      </c>
      <c r="C250">
        <v>1</v>
      </c>
      <c r="D250">
        <v>1</v>
      </c>
      <c r="E250">
        <v>1</v>
      </c>
      <c r="F250">
        <v>1</v>
      </c>
      <c r="G250">
        <v>0</v>
      </c>
      <c r="H250">
        <f t="shared" si="3"/>
        <v>4</v>
      </c>
    </row>
    <row r="251" spans="1:8">
      <c r="A251">
        <v>5484</v>
      </c>
      <c r="C251">
        <v>0</v>
      </c>
      <c r="D251">
        <v>1</v>
      </c>
      <c r="E251">
        <v>2</v>
      </c>
      <c r="F251">
        <v>1</v>
      </c>
      <c r="G251">
        <v>0</v>
      </c>
      <c r="H251">
        <f t="shared" si="3"/>
        <v>4</v>
      </c>
    </row>
    <row r="252" spans="1:8">
      <c r="A252">
        <v>5601</v>
      </c>
      <c r="C252">
        <v>0</v>
      </c>
      <c r="D252">
        <v>1</v>
      </c>
      <c r="E252">
        <v>2</v>
      </c>
      <c r="F252">
        <v>1</v>
      </c>
      <c r="G252">
        <v>0</v>
      </c>
      <c r="H252">
        <f t="shared" si="3"/>
        <v>4</v>
      </c>
    </row>
    <row r="253" spans="1:8">
      <c r="A253">
        <v>5607</v>
      </c>
      <c r="C253">
        <v>1</v>
      </c>
      <c r="D253">
        <v>1</v>
      </c>
      <c r="E253">
        <v>1</v>
      </c>
      <c r="F253">
        <v>1</v>
      </c>
      <c r="G253">
        <v>0</v>
      </c>
      <c r="H253">
        <f t="shared" si="3"/>
        <v>4</v>
      </c>
    </row>
    <row r="254" spans="1:8">
      <c r="A254">
        <v>5706</v>
      </c>
      <c r="C254">
        <v>1</v>
      </c>
      <c r="D254">
        <v>1</v>
      </c>
      <c r="E254">
        <v>2</v>
      </c>
      <c r="F254">
        <v>0</v>
      </c>
      <c r="G254">
        <v>0</v>
      </c>
      <c r="H254">
        <f t="shared" si="3"/>
        <v>4</v>
      </c>
    </row>
    <row r="255" spans="1:8">
      <c r="A255">
        <v>5871</v>
      </c>
      <c r="C255">
        <v>1</v>
      </c>
      <c r="D255">
        <v>1</v>
      </c>
      <c r="E255">
        <v>2</v>
      </c>
      <c r="F255">
        <v>0</v>
      </c>
      <c r="G255">
        <v>0</v>
      </c>
      <c r="H255">
        <f t="shared" si="3"/>
        <v>4</v>
      </c>
    </row>
    <row r="256" spans="1:8">
      <c r="A256">
        <v>5904</v>
      </c>
      <c r="C256">
        <v>1</v>
      </c>
      <c r="D256">
        <v>1</v>
      </c>
      <c r="E256">
        <v>0</v>
      </c>
      <c r="F256">
        <v>1</v>
      </c>
      <c r="G256">
        <v>1</v>
      </c>
      <c r="H256">
        <f t="shared" si="3"/>
        <v>4</v>
      </c>
    </row>
    <row r="257" spans="1:8">
      <c r="A257">
        <v>6103</v>
      </c>
      <c r="C257">
        <v>0</v>
      </c>
      <c r="D257">
        <v>1</v>
      </c>
      <c r="E257">
        <v>2</v>
      </c>
      <c r="F257">
        <v>0</v>
      </c>
      <c r="G257">
        <v>1</v>
      </c>
      <c r="H257">
        <f t="shared" si="3"/>
        <v>4</v>
      </c>
    </row>
    <row r="258" spans="1:8">
      <c r="A258">
        <v>6111</v>
      </c>
      <c r="C258">
        <v>1</v>
      </c>
      <c r="D258">
        <v>1</v>
      </c>
      <c r="E258">
        <v>1</v>
      </c>
      <c r="F258">
        <v>0</v>
      </c>
      <c r="G258">
        <v>1</v>
      </c>
      <c r="H258">
        <f t="shared" ref="H258:H321" si="4">SUM(C258:G258)</f>
        <v>4</v>
      </c>
    </row>
    <row r="259" spans="1:8">
      <c r="A259">
        <v>6126</v>
      </c>
      <c r="C259">
        <v>0</v>
      </c>
      <c r="D259">
        <v>1</v>
      </c>
      <c r="E259">
        <v>2</v>
      </c>
      <c r="F259">
        <v>1</v>
      </c>
      <c r="G259">
        <v>0</v>
      </c>
      <c r="H259">
        <f t="shared" si="4"/>
        <v>4</v>
      </c>
    </row>
    <row r="260" spans="1:8">
      <c r="A260">
        <v>6136</v>
      </c>
      <c r="C260">
        <v>0</v>
      </c>
      <c r="D260">
        <v>1</v>
      </c>
      <c r="E260">
        <v>1</v>
      </c>
      <c r="F260">
        <v>1</v>
      </c>
      <c r="G260">
        <v>1</v>
      </c>
      <c r="H260">
        <f t="shared" si="4"/>
        <v>4</v>
      </c>
    </row>
    <row r="261" spans="1:8">
      <c r="A261">
        <v>6147</v>
      </c>
      <c r="C261">
        <v>0</v>
      </c>
      <c r="D261">
        <v>1</v>
      </c>
      <c r="E261">
        <v>2</v>
      </c>
      <c r="F261">
        <v>1</v>
      </c>
      <c r="G261">
        <v>0</v>
      </c>
      <c r="H261">
        <f t="shared" si="4"/>
        <v>4</v>
      </c>
    </row>
    <row r="262" spans="1:8">
      <c r="A262">
        <v>6155</v>
      </c>
      <c r="C262">
        <v>1</v>
      </c>
      <c r="D262">
        <v>1</v>
      </c>
      <c r="E262">
        <v>1</v>
      </c>
      <c r="F262">
        <v>1</v>
      </c>
      <c r="G262">
        <v>0</v>
      </c>
      <c r="H262">
        <f t="shared" si="4"/>
        <v>4</v>
      </c>
    </row>
    <row r="263" spans="1:8">
      <c r="A263">
        <v>6158</v>
      </c>
      <c r="C263">
        <v>1</v>
      </c>
      <c r="D263">
        <v>1</v>
      </c>
      <c r="E263">
        <v>2</v>
      </c>
      <c r="F263">
        <v>0</v>
      </c>
      <c r="G263">
        <v>0</v>
      </c>
      <c r="H263">
        <f t="shared" si="4"/>
        <v>4</v>
      </c>
    </row>
    <row r="264" spans="1:8">
      <c r="A264">
        <v>6169</v>
      </c>
      <c r="C264">
        <v>0</v>
      </c>
      <c r="D264">
        <v>1</v>
      </c>
      <c r="E264">
        <v>2</v>
      </c>
      <c r="F264">
        <v>1</v>
      </c>
      <c r="G264">
        <v>0</v>
      </c>
      <c r="H264">
        <f t="shared" si="4"/>
        <v>4</v>
      </c>
    </row>
    <row r="265" spans="1:8">
      <c r="A265">
        <v>6170</v>
      </c>
      <c r="C265">
        <v>0</v>
      </c>
      <c r="D265">
        <v>1</v>
      </c>
      <c r="E265">
        <v>2</v>
      </c>
      <c r="F265">
        <v>1</v>
      </c>
      <c r="G265">
        <v>0</v>
      </c>
      <c r="H265">
        <f t="shared" si="4"/>
        <v>4</v>
      </c>
    </row>
    <row r="266" spans="1:8">
      <c r="A266">
        <v>6171</v>
      </c>
      <c r="C266">
        <v>0</v>
      </c>
      <c r="D266">
        <v>1</v>
      </c>
      <c r="E266">
        <v>2</v>
      </c>
      <c r="F266">
        <v>1</v>
      </c>
      <c r="G266">
        <v>0</v>
      </c>
      <c r="H266">
        <f t="shared" si="4"/>
        <v>4</v>
      </c>
    </row>
    <row r="267" spans="1:8">
      <c r="A267">
        <v>6174</v>
      </c>
      <c r="C267">
        <v>0</v>
      </c>
      <c r="D267">
        <v>1</v>
      </c>
      <c r="E267">
        <v>2</v>
      </c>
      <c r="F267">
        <v>1</v>
      </c>
      <c r="G267">
        <v>0</v>
      </c>
      <c r="H267">
        <f t="shared" si="4"/>
        <v>4</v>
      </c>
    </row>
    <row r="268" spans="1:8">
      <c r="A268">
        <v>6189</v>
      </c>
      <c r="C268">
        <v>1</v>
      </c>
      <c r="D268">
        <v>1</v>
      </c>
      <c r="E268">
        <v>1</v>
      </c>
      <c r="F268">
        <v>1</v>
      </c>
      <c r="G268">
        <v>0</v>
      </c>
      <c r="H268">
        <f t="shared" si="4"/>
        <v>4</v>
      </c>
    </row>
    <row r="269" spans="1:8">
      <c r="A269">
        <v>6202</v>
      </c>
      <c r="C269">
        <v>1</v>
      </c>
      <c r="D269">
        <v>1</v>
      </c>
      <c r="E269">
        <v>0</v>
      </c>
      <c r="F269">
        <v>1</v>
      </c>
      <c r="G269">
        <v>1</v>
      </c>
      <c r="H269">
        <f t="shared" si="4"/>
        <v>4</v>
      </c>
    </row>
    <row r="270" spans="1:8">
      <c r="A270">
        <v>6207</v>
      </c>
      <c r="C270">
        <v>1</v>
      </c>
      <c r="D270">
        <v>1</v>
      </c>
      <c r="E270">
        <v>1</v>
      </c>
      <c r="F270">
        <v>1</v>
      </c>
      <c r="G270">
        <v>0</v>
      </c>
      <c r="H270">
        <f t="shared" si="4"/>
        <v>4</v>
      </c>
    </row>
    <row r="271" spans="1:8">
      <c r="A271">
        <v>6211</v>
      </c>
      <c r="C271">
        <v>1</v>
      </c>
      <c r="D271">
        <v>1</v>
      </c>
      <c r="E271">
        <v>1</v>
      </c>
      <c r="F271">
        <v>1</v>
      </c>
      <c r="G271">
        <v>0</v>
      </c>
      <c r="H271">
        <f t="shared" si="4"/>
        <v>4</v>
      </c>
    </row>
    <row r="272" spans="1:8">
      <c r="A272">
        <v>6213</v>
      </c>
      <c r="C272">
        <v>1</v>
      </c>
      <c r="D272">
        <v>1</v>
      </c>
      <c r="E272">
        <v>2</v>
      </c>
      <c r="F272">
        <v>0</v>
      </c>
      <c r="G272">
        <v>0</v>
      </c>
      <c r="H272">
        <f t="shared" si="4"/>
        <v>4</v>
      </c>
    </row>
    <row r="273" spans="1:8">
      <c r="A273">
        <v>6228</v>
      </c>
      <c r="C273">
        <v>0</v>
      </c>
      <c r="D273">
        <v>1</v>
      </c>
      <c r="E273">
        <v>2</v>
      </c>
      <c r="F273">
        <v>1</v>
      </c>
      <c r="G273">
        <v>0</v>
      </c>
      <c r="H273">
        <f t="shared" si="4"/>
        <v>4</v>
      </c>
    </row>
    <row r="274" spans="1:8">
      <c r="A274">
        <v>6230</v>
      </c>
      <c r="C274">
        <v>1</v>
      </c>
      <c r="D274">
        <v>1</v>
      </c>
      <c r="E274">
        <v>1</v>
      </c>
      <c r="F274">
        <v>1</v>
      </c>
      <c r="G274">
        <v>0</v>
      </c>
      <c r="H274">
        <f t="shared" si="4"/>
        <v>4</v>
      </c>
    </row>
    <row r="275" spans="1:8">
      <c r="A275">
        <v>6238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6239</v>
      </c>
      <c r="C276">
        <v>1</v>
      </c>
      <c r="D276">
        <v>1</v>
      </c>
      <c r="E276">
        <v>1</v>
      </c>
      <c r="F276">
        <v>1</v>
      </c>
      <c r="G276">
        <v>0</v>
      </c>
      <c r="H276">
        <f t="shared" si="4"/>
        <v>4</v>
      </c>
    </row>
    <row r="277" spans="1:8">
      <c r="A277">
        <v>6266</v>
      </c>
      <c r="C277">
        <v>0</v>
      </c>
      <c r="D277">
        <v>1</v>
      </c>
      <c r="E277">
        <v>2</v>
      </c>
      <c r="F277">
        <v>1</v>
      </c>
      <c r="G277">
        <v>0</v>
      </c>
      <c r="H277">
        <f t="shared" si="4"/>
        <v>4</v>
      </c>
    </row>
    <row r="278" spans="1:8">
      <c r="A278">
        <v>6284</v>
      </c>
      <c r="C278">
        <v>0</v>
      </c>
      <c r="D278">
        <v>1</v>
      </c>
      <c r="E278">
        <v>2</v>
      </c>
      <c r="F278">
        <v>1</v>
      </c>
      <c r="G278">
        <v>0</v>
      </c>
      <c r="H278">
        <f t="shared" si="4"/>
        <v>4</v>
      </c>
    </row>
    <row r="279" spans="1:8">
      <c r="A279">
        <v>6285</v>
      </c>
      <c r="C279">
        <v>1</v>
      </c>
      <c r="D279">
        <v>1</v>
      </c>
      <c r="E279">
        <v>0</v>
      </c>
      <c r="F279">
        <v>1</v>
      </c>
      <c r="G279">
        <v>1</v>
      </c>
      <c r="H279">
        <f t="shared" si="4"/>
        <v>4</v>
      </c>
    </row>
    <row r="280" spans="1:8">
      <c r="A280">
        <v>6442</v>
      </c>
      <c r="C280">
        <v>1</v>
      </c>
      <c r="D280">
        <v>1</v>
      </c>
      <c r="E280">
        <v>0</v>
      </c>
      <c r="F280">
        <v>1</v>
      </c>
      <c r="G280">
        <v>1</v>
      </c>
      <c r="H280">
        <f t="shared" si="4"/>
        <v>4</v>
      </c>
    </row>
    <row r="281" spans="1:8">
      <c r="A281">
        <v>6449</v>
      </c>
      <c r="C281">
        <v>1</v>
      </c>
      <c r="D281">
        <v>1</v>
      </c>
      <c r="E281">
        <v>1</v>
      </c>
      <c r="F281">
        <v>0</v>
      </c>
      <c r="G281">
        <v>1</v>
      </c>
      <c r="H281">
        <f t="shared" si="4"/>
        <v>4</v>
      </c>
    </row>
    <row r="282" spans="1:8">
      <c r="A282">
        <v>6456</v>
      </c>
      <c r="C282">
        <v>1</v>
      </c>
      <c r="D282">
        <v>1</v>
      </c>
      <c r="E282">
        <v>1</v>
      </c>
      <c r="F282">
        <v>1</v>
      </c>
      <c r="G282">
        <v>0</v>
      </c>
      <c r="H282">
        <f t="shared" si="4"/>
        <v>4</v>
      </c>
    </row>
    <row r="283" spans="1:8">
      <c r="A283">
        <v>6605</v>
      </c>
      <c r="C283">
        <v>1</v>
      </c>
      <c r="D283">
        <v>1</v>
      </c>
      <c r="E283">
        <v>1</v>
      </c>
      <c r="F283">
        <v>1</v>
      </c>
      <c r="G283">
        <v>0</v>
      </c>
      <c r="H283">
        <f t="shared" si="4"/>
        <v>4</v>
      </c>
    </row>
    <row r="284" spans="1:8">
      <c r="A284">
        <v>8021</v>
      </c>
      <c r="C284">
        <v>0</v>
      </c>
      <c r="D284">
        <v>1</v>
      </c>
      <c r="E284">
        <v>1</v>
      </c>
      <c r="F284">
        <v>1</v>
      </c>
      <c r="G284">
        <v>1</v>
      </c>
      <c r="H284">
        <f t="shared" si="4"/>
        <v>4</v>
      </c>
    </row>
    <row r="285" spans="1:8">
      <c r="A285">
        <v>8066</v>
      </c>
      <c r="C285">
        <v>1</v>
      </c>
      <c r="D285">
        <v>1</v>
      </c>
      <c r="E285">
        <v>1</v>
      </c>
      <c r="F285">
        <v>1</v>
      </c>
      <c r="G285">
        <v>0</v>
      </c>
      <c r="H285">
        <f t="shared" si="4"/>
        <v>4</v>
      </c>
    </row>
    <row r="286" spans="1:8">
      <c r="A286">
        <v>8074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8077</v>
      </c>
      <c r="C287">
        <v>0</v>
      </c>
      <c r="D287">
        <v>1</v>
      </c>
      <c r="E287">
        <v>2</v>
      </c>
      <c r="F287">
        <v>0</v>
      </c>
      <c r="G287">
        <v>1</v>
      </c>
      <c r="H287">
        <f t="shared" si="4"/>
        <v>4</v>
      </c>
    </row>
    <row r="288" spans="1:8">
      <c r="A288">
        <v>8101</v>
      </c>
      <c r="C288">
        <v>0</v>
      </c>
      <c r="D288">
        <v>1</v>
      </c>
      <c r="E288">
        <v>2</v>
      </c>
      <c r="F288">
        <v>1</v>
      </c>
      <c r="G288">
        <v>0</v>
      </c>
      <c r="H288">
        <f t="shared" si="4"/>
        <v>4</v>
      </c>
    </row>
    <row r="289" spans="1:8">
      <c r="A289">
        <v>8110</v>
      </c>
      <c r="C289">
        <v>0</v>
      </c>
      <c r="D289">
        <v>1</v>
      </c>
      <c r="E289">
        <v>2</v>
      </c>
      <c r="F289">
        <v>1</v>
      </c>
      <c r="G289">
        <v>0</v>
      </c>
      <c r="H289">
        <f t="shared" si="4"/>
        <v>4</v>
      </c>
    </row>
    <row r="290" spans="1:8">
      <c r="A290">
        <v>8112</v>
      </c>
      <c r="C290">
        <v>0</v>
      </c>
      <c r="D290">
        <v>1</v>
      </c>
      <c r="E290">
        <v>2</v>
      </c>
      <c r="F290">
        <v>1</v>
      </c>
      <c r="G290">
        <v>0</v>
      </c>
      <c r="H290">
        <f t="shared" si="4"/>
        <v>4</v>
      </c>
    </row>
    <row r="291" spans="1:8">
      <c r="A291">
        <v>8114</v>
      </c>
      <c r="C291">
        <v>1</v>
      </c>
      <c r="D291">
        <v>1</v>
      </c>
      <c r="E291">
        <v>1</v>
      </c>
      <c r="F291">
        <v>1</v>
      </c>
      <c r="G291">
        <v>0</v>
      </c>
      <c r="H291">
        <f t="shared" si="4"/>
        <v>4</v>
      </c>
    </row>
    <row r="292" spans="1:8">
      <c r="A292">
        <v>8183</v>
      </c>
      <c r="C292">
        <v>0</v>
      </c>
      <c r="D292">
        <v>1</v>
      </c>
      <c r="E292">
        <v>2</v>
      </c>
      <c r="F292">
        <v>1</v>
      </c>
      <c r="G292">
        <v>0</v>
      </c>
      <c r="H292">
        <f t="shared" si="4"/>
        <v>4</v>
      </c>
    </row>
    <row r="293" spans="1:8">
      <c r="A293">
        <v>8210</v>
      </c>
      <c r="C293">
        <v>1</v>
      </c>
      <c r="D293">
        <v>1</v>
      </c>
      <c r="E293">
        <v>1</v>
      </c>
      <c r="F293">
        <v>1</v>
      </c>
      <c r="G293">
        <v>0</v>
      </c>
      <c r="H293">
        <f t="shared" si="4"/>
        <v>4</v>
      </c>
    </row>
    <row r="294" spans="1:8">
      <c r="A294">
        <v>8240</v>
      </c>
      <c r="C294">
        <v>0</v>
      </c>
      <c r="D294">
        <v>1</v>
      </c>
      <c r="E294">
        <v>2</v>
      </c>
      <c r="F294">
        <v>1</v>
      </c>
      <c r="G294">
        <v>0</v>
      </c>
      <c r="H294">
        <f t="shared" si="4"/>
        <v>4</v>
      </c>
    </row>
    <row r="295" spans="1:8">
      <c r="A295">
        <v>8249</v>
      </c>
      <c r="C295">
        <v>1</v>
      </c>
      <c r="D295">
        <v>1</v>
      </c>
      <c r="E295">
        <v>1</v>
      </c>
      <c r="F295">
        <v>1</v>
      </c>
      <c r="G295">
        <v>0</v>
      </c>
      <c r="H295">
        <f t="shared" si="4"/>
        <v>4</v>
      </c>
    </row>
    <row r="296" spans="1:8">
      <c r="A296">
        <v>8289</v>
      </c>
      <c r="C296">
        <v>1</v>
      </c>
      <c r="D296">
        <v>1</v>
      </c>
      <c r="E296">
        <v>1</v>
      </c>
      <c r="F296">
        <v>1</v>
      </c>
      <c r="G296">
        <v>0</v>
      </c>
      <c r="H296">
        <f t="shared" si="4"/>
        <v>4</v>
      </c>
    </row>
    <row r="297" spans="1:8">
      <c r="A297">
        <v>8299</v>
      </c>
      <c r="C297">
        <v>1</v>
      </c>
      <c r="D297">
        <v>1</v>
      </c>
      <c r="E297">
        <v>1</v>
      </c>
      <c r="F297">
        <v>1</v>
      </c>
      <c r="G297">
        <v>0</v>
      </c>
      <c r="H297">
        <f t="shared" si="4"/>
        <v>4</v>
      </c>
    </row>
    <row r="298" spans="1:8">
      <c r="A298">
        <v>8341</v>
      </c>
      <c r="C298">
        <v>1</v>
      </c>
      <c r="D298">
        <v>1</v>
      </c>
      <c r="E298">
        <v>1</v>
      </c>
      <c r="F298">
        <v>1</v>
      </c>
      <c r="G298">
        <v>0</v>
      </c>
      <c r="H298">
        <f t="shared" si="4"/>
        <v>4</v>
      </c>
    </row>
    <row r="299" spans="1:8">
      <c r="A299">
        <v>8426</v>
      </c>
      <c r="C299">
        <v>1</v>
      </c>
      <c r="D299">
        <v>1</v>
      </c>
      <c r="E299">
        <v>1</v>
      </c>
      <c r="F299">
        <v>1</v>
      </c>
      <c r="G299">
        <v>0</v>
      </c>
      <c r="H299">
        <f t="shared" si="4"/>
        <v>4</v>
      </c>
    </row>
    <row r="300" spans="1:8">
      <c r="A300">
        <v>8433</v>
      </c>
      <c r="C300">
        <v>1</v>
      </c>
      <c r="D300">
        <v>1</v>
      </c>
      <c r="E300">
        <v>0</v>
      </c>
      <c r="F300">
        <v>1</v>
      </c>
      <c r="G300">
        <v>1</v>
      </c>
      <c r="H300">
        <f t="shared" si="4"/>
        <v>4</v>
      </c>
    </row>
    <row r="301" spans="1:8">
      <c r="A301">
        <v>8436</v>
      </c>
      <c r="C301">
        <v>0</v>
      </c>
      <c r="D301">
        <v>0</v>
      </c>
      <c r="E301">
        <v>2</v>
      </c>
      <c r="F301">
        <v>1</v>
      </c>
      <c r="G301">
        <v>1</v>
      </c>
      <c r="H301">
        <f t="shared" si="4"/>
        <v>4</v>
      </c>
    </row>
    <row r="302" spans="1:8">
      <c r="A302">
        <v>8931</v>
      </c>
      <c r="C302">
        <v>0</v>
      </c>
      <c r="D302">
        <v>1</v>
      </c>
      <c r="E302">
        <v>2</v>
      </c>
      <c r="F302">
        <v>1</v>
      </c>
      <c r="G302">
        <v>0</v>
      </c>
      <c r="H302">
        <f t="shared" si="4"/>
        <v>4</v>
      </c>
    </row>
    <row r="303" spans="1:8">
      <c r="A303">
        <v>8933</v>
      </c>
      <c r="C303">
        <v>1</v>
      </c>
      <c r="D303">
        <v>1</v>
      </c>
      <c r="E303">
        <v>2</v>
      </c>
      <c r="F303">
        <v>0</v>
      </c>
      <c r="G303">
        <v>0</v>
      </c>
      <c r="H303">
        <f t="shared" si="4"/>
        <v>4</v>
      </c>
    </row>
    <row r="304" spans="1:8">
      <c r="A304">
        <v>9908</v>
      </c>
      <c r="C304">
        <v>1</v>
      </c>
      <c r="D304">
        <v>1</v>
      </c>
      <c r="E304">
        <v>1</v>
      </c>
      <c r="F304">
        <v>1</v>
      </c>
      <c r="G304">
        <v>0</v>
      </c>
      <c r="H304">
        <f t="shared" si="4"/>
        <v>4</v>
      </c>
    </row>
    <row r="305" spans="1:8">
      <c r="A305">
        <v>9914</v>
      </c>
      <c r="C305">
        <v>1</v>
      </c>
      <c r="D305">
        <v>1</v>
      </c>
      <c r="E305">
        <v>1</v>
      </c>
      <c r="F305">
        <v>1</v>
      </c>
      <c r="G305">
        <v>0</v>
      </c>
      <c r="H305">
        <f t="shared" si="4"/>
        <v>4</v>
      </c>
    </row>
    <row r="306" spans="1:8">
      <c r="A306">
        <v>9924</v>
      </c>
      <c r="C306">
        <v>1</v>
      </c>
      <c r="D306">
        <v>1</v>
      </c>
      <c r="E306">
        <v>1</v>
      </c>
      <c r="F306">
        <v>1</v>
      </c>
      <c r="G306">
        <v>0</v>
      </c>
      <c r="H306">
        <f t="shared" si="4"/>
        <v>4</v>
      </c>
    </row>
    <row r="307" spans="1:8">
      <c r="A307">
        <v>9958</v>
      </c>
      <c r="C307">
        <v>1</v>
      </c>
      <c r="D307">
        <v>1</v>
      </c>
      <c r="E307">
        <v>1</v>
      </c>
      <c r="F307">
        <v>1</v>
      </c>
      <c r="G307">
        <v>0</v>
      </c>
      <c r="H307">
        <f t="shared" si="4"/>
        <v>4</v>
      </c>
    </row>
    <row r="308" spans="1:8">
      <c r="A308">
        <v>1215</v>
      </c>
      <c r="C308">
        <v>0</v>
      </c>
      <c r="D308">
        <v>1</v>
      </c>
      <c r="E308">
        <v>1</v>
      </c>
      <c r="F308">
        <v>1</v>
      </c>
      <c r="G308">
        <v>0</v>
      </c>
      <c r="H308">
        <f t="shared" si="4"/>
        <v>3</v>
      </c>
    </row>
    <row r="309" spans="1:8">
      <c r="A309">
        <v>1218</v>
      </c>
      <c r="C309">
        <v>1</v>
      </c>
      <c r="D309">
        <v>1</v>
      </c>
      <c r="E309">
        <v>1</v>
      </c>
      <c r="F309">
        <v>0</v>
      </c>
      <c r="G309">
        <v>0</v>
      </c>
      <c r="H309">
        <f t="shared" si="4"/>
        <v>3</v>
      </c>
    </row>
    <row r="310" spans="1:8">
      <c r="A310">
        <v>1232</v>
      </c>
      <c r="C310">
        <v>0</v>
      </c>
      <c r="D310">
        <v>1</v>
      </c>
      <c r="E310">
        <v>1</v>
      </c>
      <c r="F310">
        <v>1</v>
      </c>
      <c r="G310">
        <v>0</v>
      </c>
      <c r="H310">
        <f t="shared" si="4"/>
        <v>3</v>
      </c>
    </row>
    <row r="311" spans="1:8">
      <c r="A311">
        <v>1233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1235</v>
      </c>
      <c r="C312">
        <v>0</v>
      </c>
      <c r="D312">
        <v>1</v>
      </c>
      <c r="E312">
        <v>1</v>
      </c>
      <c r="F312">
        <v>1</v>
      </c>
      <c r="G312">
        <v>0</v>
      </c>
      <c r="H312">
        <f t="shared" si="4"/>
        <v>3</v>
      </c>
    </row>
    <row r="313" spans="1:8">
      <c r="A313">
        <v>1259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1262</v>
      </c>
      <c r="C314">
        <v>0</v>
      </c>
      <c r="D314">
        <v>1</v>
      </c>
      <c r="E314">
        <v>1</v>
      </c>
      <c r="F314">
        <v>1</v>
      </c>
      <c r="G314">
        <v>0</v>
      </c>
      <c r="H314">
        <f t="shared" si="4"/>
        <v>3</v>
      </c>
    </row>
    <row r="315" spans="1:8">
      <c r="A315">
        <v>1319</v>
      </c>
      <c r="C315">
        <v>1</v>
      </c>
      <c r="D315">
        <v>1</v>
      </c>
      <c r="E315">
        <v>0</v>
      </c>
      <c r="F315">
        <v>1</v>
      </c>
      <c r="G315">
        <v>0</v>
      </c>
      <c r="H315">
        <f t="shared" si="4"/>
        <v>3</v>
      </c>
    </row>
    <row r="316" spans="1:8">
      <c r="A316">
        <v>1325</v>
      </c>
      <c r="C316">
        <v>1</v>
      </c>
      <c r="D316">
        <v>1</v>
      </c>
      <c r="E316">
        <v>0</v>
      </c>
      <c r="F316">
        <v>1</v>
      </c>
      <c r="G316">
        <v>0</v>
      </c>
      <c r="H316">
        <f t="shared" si="4"/>
        <v>3</v>
      </c>
    </row>
    <row r="317" spans="1:8">
      <c r="A317">
        <v>1333</v>
      </c>
      <c r="C317">
        <v>0</v>
      </c>
      <c r="D317">
        <v>1</v>
      </c>
      <c r="E317">
        <v>1</v>
      </c>
      <c r="F317">
        <v>1</v>
      </c>
      <c r="G317">
        <v>0</v>
      </c>
      <c r="H317">
        <f t="shared" si="4"/>
        <v>3</v>
      </c>
    </row>
    <row r="318" spans="1:8">
      <c r="A318">
        <v>1337</v>
      </c>
      <c r="C318">
        <v>0</v>
      </c>
      <c r="D318">
        <v>1</v>
      </c>
      <c r="E318">
        <v>1</v>
      </c>
      <c r="F318">
        <v>1</v>
      </c>
      <c r="G318">
        <v>0</v>
      </c>
      <c r="H318">
        <f t="shared" si="4"/>
        <v>3</v>
      </c>
    </row>
    <row r="319" spans="1:8">
      <c r="A319">
        <v>1339</v>
      </c>
      <c r="C319">
        <v>1</v>
      </c>
      <c r="D319">
        <v>1</v>
      </c>
      <c r="E319">
        <v>0</v>
      </c>
      <c r="F319">
        <v>0</v>
      </c>
      <c r="G319">
        <v>1</v>
      </c>
      <c r="H319">
        <f t="shared" si="4"/>
        <v>3</v>
      </c>
    </row>
    <row r="320" spans="1:8">
      <c r="A320">
        <v>1451</v>
      </c>
      <c r="C320">
        <v>1</v>
      </c>
      <c r="D320">
        <v>1</v>
      </c>
      <c r="E320">
        <v>0</v>
      </c>
      <c r="F320">
        <v>1</v>
      </c>
      <c r="G320">
        <v>0</v>
      </c>
      <c r="H320">
        <f t="shared" si="4"/>
        <v>3</v>
      </c>
    </row>
    <row r="321" spans="1:8">
      <c r="A321">
        <v>1456</v>
      </c>
      <c r="C321">
        <v>1</v>
      </c>
      <c r="D321">
        <v>1</v>
      </c>
      <c r="E321">
        <v>0</v>
      </c>
      <c r="F321">
        <v>1</v>
      </c>
      <c r="G321">
        <v>0</v>
      </c>
      <c r="H321">
        <f t="shared" si="4"/>
        <v>3</v>
      </c>
    </row>
    <row r="322" spans="1:8">
      <c r="A322">
        <v>1460</v>
      </c>
      <c r="C322">
        <v>0</v>
      </c>
      <c r="D322">
        <v>1</v>
      </c>
      <c r="E322">
        <v>1</v>
      </c>
      <c r="F322">
        <v>1</v>
      </c>
      <c r="G322">
        <v>0</v>
      </c>
      <c r="H322">
        <f t="shared" ref="H322:H385" si="5">SUM(C322:G322)</f>
        <v>3</v>
      </c>
    </row>
    <row r="323" spans="1:8">
      <c r="A323">
        <v>1465</v>
      </c>
      <c r="C323">
        <v>1</v>
      </c>
      <c r="D323">
        <v>1</v>
      </c>
      <c r="E323">
        <v>1</v>
      </c>
      <c r="F323">
        <v>0</v>
      </c>
      <c r="G323">
        <v>0</v>
      </c>
      <c r="H323">
        <f t="shared" si="5"/>
        <v>3</v>
      </c>
    </row>
    <row r="324" spans="1:8">
      <c r="A324">
        <v>1474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1476</v>
      </c>
      <c r="C325">
        <v>1</v>
      </c>
      <c r="D325">
        <v>1</v>
      </c>
      <c r="E325">
        <v>0</v>
      </c>
      <c r="F325">
        <v>1</v>
      </c>
      <c r="G325">
        <v>0</v>
      </c>
      <c r="H325">
        <f t="shared" si="5"/>
        <v>3</v>
      </c>
    </row>
    <row r="326" spans="1:8">
      <c r="A326">
        <v>1506</v>
      </c>
      <c r="C326">
        <v>1</v>
      </c>
      <c r="D326">
        <v>1</v>
      </c>
      <c r="E326">
        <v>0</v>
      </c>
      <c r="F326">
        <v>1</v>
      </c>
      <c r="G326">
        <v>0</v>
      </c>
      <c r="H326">
        <f t="shared" si="5"/>
        <v>3</v>
      </c>
    </row>
    <row r="327" spans="1:8">
      <c r="A327">
        <v>1514</v>
      </c>
      <c r="C327">
        <v>1</v>
      </c>
      <c r="D327">
        <v>1</v>
      </c>
      <c r="E327">
        <v>0</v>
      </c>
      <c r="F327">
        <v>1</v>
      </c>
      <c r="G327">
        <v>0</v>
      </c>
      <c r="H327">
        <f t="shared" si="5"/>
        <v>3</v>
      </c>
    </row>
    <row r="328" spans="1:8">
      <c r="A328">
        <v>1522</v>
      </c>
      <c r="C328">
        <v>1</v>
      </c>
      <c r="D328">
        <v>1</v>
      </c>
      <c r="E328">
        <v>0</v>
      </c>
      <c r="F328">
        <v>1</v>
      </c>
      <c r="G328">
        <v>0</v>
      </c>
      <c r="H328">
        <f t="shared" si="5"/>
        <v>3</v>
      </c>
    </row>
    <row r="329" spans="1:8">
      <c r="A329">
        <v>1526</v>
      </c>
      <c r="C329">
        <v>1</v>
      </c>
      <c r="D329">
        <v>1</v>
      </c>
      <c r="E329">
        <v>0</v>
      </c>
      <c r="F329">
        <v>0</v>
      </c>
      <c r="G329">
        <v>1</v>
      </c>
      <c r="H329">
        <f t="shared" si="5"/>
        <v>3</v>
      </c>
    </row>
    <row r="330" spans="1:8">
      <c r="A330">
        <v>1527</v>
      </c>
      <c r="C330">
        <v>1</v>
      </c>
      <c r="D330">
        <v>1</v>
      </c>
      <c r="E330">
        <v>0</v>
      </c>
      <c r="F330">
        <v>0</v>
      </c>
      <c r="G330">
        <v>1</v>
      </c>
      <c r="H330">
        <f t="shared" si="5"/>
        <v>3</v>
      </c>
    </row>
    <row r="331" spans="1:8">
      <c r="A331">
        <v>1531</v>
      </c>
      <c r="C331">
        <v>1</v>
      </c>
      <c r="D331">
        <v>1</v>
      </c>
      <c r="E331">
        <v>1</v>
      </c>
      <c r="F331">
        <v>0</v>
      </c>
      <c r="G331">
        <v>0</v>
      </c>
      <c r="H331">
        <f t="shared" si="5"/>
        <v>3</v>
      </c>
    </row>
    <row r="332" spans="1:8">
      <c r="A332">
        <v>1533</v>
      </c>
      <c r="C332">
        <v>1</v>
      </c>
      <c r="D332">
        <v>1</v>
      </c>
      <c r="E332">
        <v>0</v>
      </c>
      <c r="F332">
        <v>1</v>
      </c>
      <c r="G332">
        <v>0</v>
      </c>
      <c r="H332">
        <f t="shared" si="5"/>
        <v>3</v>
      </c>
    </row>
    <row r="333" spans="1:8">
      <c r="A333">
        <v>1566</v>
      </c>
      <c r="C333">
        <v>0</v>
      </c>
      <c r="D333">
        <v>1</v>
      </c>
      <c r="E333">
        <v>0</v>
      </c>
      <c r="F333">
        <v>1</v>
      </c>
      <c r="G333">
        <v>1</v>
      </c>
      <c r="H333">
        <f t="shared" si="5"/>
        <v>3</v>
      </c>
    </row>
    <row r="334" spans="1:8">
      <c r="A334">
        <v>1568</v>
      </c>
      <c r="C334">
        <v>1</v>
      </c>
      <c r="D334">
        <v>1</v>
      </c>
      <c r="E334">
        <v>0</v>
      </c>
      <c r="F334">
        <v>1</v>
      </c>
      <c r="G334">
        <v>0</v>
      </c>
      <c r="H334">
        <f t="shared" si="5"/>
        <v>3</v>
      </c>
    </row>
    <row r="335" spans="1:8">
      <c r="A335">
        <v>1582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1592</v>
      </c>
      <c r="C336">
        <v>1</v>
      </c>
      <c r="D336">
        <v>1</v>
      </c>
      <c r="E336">
        <v>0</v>
      </c>
      <c r="F336">
        <v>1</v>
      </c>
      <c r="G336">
        <v>0</v>
      </c>
      <c r="H336">
        <f t="shared" si="5"/>
        <v>3</v>
      </c>
    </row>
    <row r="337" spans="1:8">
      <c r="A337">
        <v>1593</v>
      </c>
      <c r="C337">
        <v>1</v>
      </c>
      <c r="D337">
        <v>1</v>
      </c>
      <c r="E337">
        <v>0</v>
      </c>
      <c r="F337">
        <v>1</v>
      </c>
      <c r="G337">
        <v>0</v>
      </c>
      <c r="H337">
        <f t="shared" si="5"/>
        <v>3</v>
      </c>
    </row>
    <row r="338" spans="1:8">
      <c r="A338">
        <v>1597</v>
      </c>
      <c r="C338">
        <v>1</v>
      </c>
      <c r="D338">
        <v>1</v>
      </c>
      <c r="E338">
        <v>0</v>
      </c>
      <c r="F338">
        <v>1</v>
      </c>
      <c r="G338">
        <v>0</v>
      </c>
      <c r="H338">
        <f t="shared" si="5"/>
        <v>3</v>
      </c>
    </row>
    <row r="339" spans="1:8">
      <c r="A339">
        <v>1618</v>
      </c>
      <c r="C339">
        <v>0</v>
      </c>
      <c r="D339">
        <v>1</v>
      </c>
      <c r="E339">
        <v>2</v>
      </c>
      <c r="F339">
        <v>0</v>
      </c>
      <c r="G339">
        <v>0</v>
      </c>
      <c r="H339">
        <f t="shared" si="5"/>
        <v>3</v>
      </c>
    </row>
    <row r="340" spans="1:8">
      <c r="A340">
        <v>1701</v>
      </c>
      <c r="C340">
        <v>0</v>
      </c>
      <c r="D340">
        <v>1</v>
      </c>
      <c r="E340">
        <v>1</v>
      </c>
      <c r="F340">
        <v>1</v>
      </c>
      <c r="G340">
        <v>0</v>
      </c>
      <c r="H340">
        <f t="shared" si="5"/>
        <v>3</v>
      </c>
    </row>
    <row r="341" spans="1:8">
      <c r="A341">
        <v>1711</v>
      </c>
      <c r="C341">
        <v>1</v>
      </c>
      <c r="D341">
        <v>1</v>
      </c>
      <c r="E341">
        <v>0</v>
      </c>
      <c r="F341">
        <v>1</v>
      </c>
      <c r="G341">
        <v>0</v>
      </c>
      <c r="H341">
        <f t="shared" si="5"/>
        <v>3</v>
      </c>
    </row>
    <row r="342" spans="1:8">
      <c r="A342">
        <v>1717</v>
      </c>
      <c r="C342">
        <v>1</v>
      </c>
      <c r="D342">
        <v>1</v>
      </c>
      <c r="E342">
        <v>0</v>
      </c>
      <c r="F342">
        <v>1</v>
      </c>
      <c r="G342">
        <v>0</v>
      </c>
      <c r="H342">
        <f t="shared" si="5"/>
        <v>3</v>
      </c>
    </row>
    <row r="343" spans="1:8">
      <c r="A343">
        <v>1720</v>
      </c>
      <c r="C343">
        <v>0</v>
      </c>
      <c r="D343">
        <v>1</v>
      </c>
      <c r="E343">
        <v>1</v>
      </c>
      <c r="F343">
        <v>1</v>
      </c>
      <c r="G343">
        <v>0</v>
      </c>
      <c r="H343">
        <f t="shared" si="5"/>
        <v>3</v>
      </c>
    </row>
    <row r="344" spans="1:8">
      <c r="A344">
        <v>1721</v>
      </c>
      <c r="C344">
        <v>1</v>
      </c>
      <c r="D344">
        <v>1</v>
      </c>
      <c r="E344">
        <v>0</v>
      </c>
      <c r="F344">
        <v>1</v>
      </c>
      <c r="G344">
        <v>0</v>
      </c>
      <c r="H344">
        <f t="shared" si="5"/>
        <v>3</v>
      </c>
    </row>
    <row r="345" spans="1:8">
      <c r="A345">
        <v>1722</v>
      </c>
      <c r="C345">
        <v>0</v>
      </c>
      <c r="D345">
        <v>1</v>
      </c>
      <c r="E345">
        <v>1</v>
      </c>
      <c r="F345">
        <v>1</v>
      </c>
      <c r="G345">
        <v>0</v>
      </c>
      <c r="H345">
        <f t="shared" si="5"/>
        <v>3</v>
      </c>
    </row>
    <row r="346" spans="1:8">
      <c r="A346">
        <v>1725</v>
      </c>
      <c r="C346">
        <v>0</v>
      </c>
      <c r="D346">
        <v>1</v>
      </c>
      <c r="E346">
        <v>1</v>
      </c>
      <c r="F346">
        <v>1</v>
      </c>
      <c r="G346">
        <v>0</v>
      </c>
      <c r="H346">
        <f t="shared" si="5"/>
        <v>3</v>
      </c>
    </row>
    <row r="347" spans="1:8">
      <c r="A347">
        <v>1726</v>
      </c>
      <c r="C347">
        <v>1</v>
      </c>
      <c r="D347">
        <v>1</v>
      </c>
      <c r="E347">
        <v>0</v>
      </c>
      <c r="F347">
        <v>1</v>
      </c>
      <c r="G347">
        <v>0</v>
      </c>
      <c r="H347">
        <f t="shared" si="5"/>
        <v>3</v>
      </c>
    </row>
    <row r="348" spans="1:8">
      <c r="A348">
        <v>1732</v>
      </c>
      <c r="C348">
        <v>1</v>
      </c>
      <c r="D348">
        <v>1</v>
      </c>
      <c r="E348">
        <v>0</v>
      </c>
      <c r="F348">
        <v>1</v>
      </c>
      <c r="G348">
        <v>0</v>
      </c>
      <c r="H348">
        <f t="shared" si="5"/>
        <v>3</v>
      </c>
    </row>
    <row r="349" spans="1:8">
      <c r="A349">
        <v>1737</v>
      </c>
      <c r="C349">
        <v>1</v>
      </c>
      <c r="D349">
        <v>1</v>
      </c>
      <c r="E349">
        <v>0</v>
      </c>
      <c r="F349">
        <v>1</v>
      </c>
      <c r="G349">
        <v>0</v>
      </c>
      <c r="H349">
        <f t="shared" si="5"/>
        <v>3</v>
      </c>
    </row>
    <row r="350" spans="1:8">
      <c r="A350">
        <v>1752</v>
      </c>
      <c r="C350">
        <v>1</v>
      </c>
      <c r="D350">
        <v>1</v>
      </c>
      <c r="E350">
        <v>0</v>
      </c>
      <c r="F350">
        <v>1</v>
      </c>
      <c r="G350">
        <v>0</v>
      </c>
      <c r="H350">
        <f t="shared" si="5"/>
        <v>3</v>
      </c>
    </row>
    <row r="351" spans="1:8">
      <c r="A351">
        <v>1789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1799</v>
      </c>
      <c r="C352">
        <v>1</v>
      </c>
      <c r="D352">
        <v>1</v>
      </c>
      <c r="E352">
        <v>0</v>
      </c>
      <c r="F352">
        <v>0</v>
      </c>
      <c r="G352">
        <v>1</v>
      </c>
      <c r="H352">
        <f t="shared" si="5"/>
        <v>3</v>
      </c>
    </row>
    <row r="353" spans="1:8">
      <c r="A353">
        <v>1802</v>
      </c>
      <c r="C353">
        <v>0</v>
      </c>
      <c r="D353">
        <v>0</v>
      </c>
      <c r="E353">
        <v>2</v>
      </c>
      <c r="F353">
        <v>1</v>
      </c>
      <c r="G353">
        <v>0</v>
      </c>
      <c r="H353">
        <f t="shared" si="5"/>
        <v>3</v>
      </c>
    </row>
    <row r="354" spans="1:8">
      <c r="A354">
        <v>1806</v>
      </c>
      <c r="C354">
        <v>1</v>
      </c>
      <c r="D354">
        <v>1</v>
      </c>
      <c r="E354">
        <v>0</v>
      </c>
      <c r="F354">
        <v>1</v>
      </c>
      <c r="G354">
        <v>0</v>
      </c>
      <c r="H354">
        <f t="shared" si="5"/>
        <v>3</v>
      </c>
    </row>
    <row r="355" spans="1:8">
      <c r="A355">
        <v>1813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1815</v>
      </c>
      <c r="C356">
        <v>1</v>
      </c>
      <c r="D356">
        <v>1</v>
      </c>
      <c r="E356">
        <v>0</v>
      </c>
      <c r="F356">
        <v>1</v>
      </c>
      <c r="G356">
        <v>0</v>
      </c>
      <c r="H356">
        <f t="shared" si="5"/>
        <v>3</v>
      </c>
    </row>
    <row r="357" spans="1:8">
      <c r="A357">
        <v>1817</v>
      </c>
      <c r="C357">
        <v>1</v>
      </c>
      <c r="D357">
        <v>1</v>
      </c>
      <c r="E357">
        <v>0</v>
      </c>
      <c r="F357">
        <v>1</v>
      </c>
      <c r="G357">
        <v>0</v>
      </c>
      <c r="H357">
        <f t="shared" si="5"/>
        <v>3</v>
      </c>
    </row>
    <row r="358" spans="1:8">
      <c r="A358">
        <v>1902</v>
      </c>
      <c r="C358">
        <v>1</v>
      </c>
      <c r="D358">
        <v>1</v>
      </c>
      <c r="E358">
        <v>0</v>
      </c>
      <c r="F358">
        <v>1</v>
      </c>
      <c r="G358">
        <v>0</v>
      </c>
      <c r="H358">
        <f t="shared" si="5"/>
        <v>3</v>
      </c>
    </row>
    <row r="359" spans="1:8">
      <c r="A359">
        <v>1906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2012</v>
      </c>
      <c r="C360">
        <v>1</v>
      </c>
      <c r="D360">
        <v>1</v>
      </c>
      <c r="E360">
        <v>0</v>
      </c>
      <c r="F360">
        <v>1</v>
      </c>
      <c r="G360">
        <v>0</v>
      </c>
      <c r="H360">
        <f t="shared" si="5"/>
        <v>3</v>
      </c>
    </row>
    <row r="361" spans="1:8">
      <c r="A361">
        <v>2015</v>
      </c>
      <c r="C361">
        <v>0</v>
      </c>
      <c r="D361">
        <v>1</v>
      </c>
      <c r="E361">
        <v>1</v>
      </c>
      <c r="F361">
        <v>1</v>
      </c>
      <c r="G361">
        <v>0</v>
      </c>
      <c r="H361">
        <f t="shared" si="5"/>
        <v>3</v>
      </c>
    </row>
    <row r="362" spans="1:8">
      <c r="A362">
        <v>2032</v>
      </c>
      <c r="C362">
        <v>0</v>
      </c>
      <c r="D362">
        <v>1</v>
      </c>
      <c r="E362">
        <v>1</v>
      </c>
      <c r="F362">
        <v>1</v>
      </c>
      <c r="G362">
        <v>0</v>
      </c>
      <c r="H362">
        <f t="shared" si="5"/>
        <v>3</v>
      </c>
    </row>
    <row r="363" spans="1:8">
      <c r="A363">
        <v>2049</v>
      </c>
      <c r="C363">
        <v>0</v>
      </c>
      <c r="D363">
        <v>1</v>
      </c>
      <c r="E363">
        <v>0</v>
      </c>
      <c r="F363">
        <v>1</v>
      </c>
      <c r="G363">
        <v>1</v>
      </c>
      <c r="H363">
        <f t="shared" si="5"/>
        <v>3</v>
      </c>
    </row>
    <row r="364" spans="1:8">
      <c r="A364">
        <v>2062</v>
      </c>
      <c r="C364">
        <v>0</v>
      </c>
      <c r="D364">
        <v>1</v>
      </c>
      <c r="E364">
        <v>0</v>
      </c>
      <c r="F364">
        <v>1</v>
      </c>
      <c r="G364">
        <v>1</v>
      </c>
      <c r="H364">
        <f t="shared" si="5"/>
        <v>3</v>
      </c>
    </row>
    <row r="365" spans="1:8">
      <c r="A365">
        <v>2066</v>
      </c>
      <c r="C365">
        <v>1</v>
      </c>
      <c r="D365">
        <v>1</v>
      </c>
      <c r="E365">
        <v>0</v>
      </c>
      <c r="F365">
        <v>1</v>
      </c>
      <c r="G365">
        <v>0</v>
      </c>
      <c r="H365">
        <f t="shared" si="5"/>
        <v>3</v>
      </c>
    </row>
    <row r="366" spans="1:8">
      <c r="A366">
        <v>2102</v>
      </c>
      <c r="C366">
        <v>1</v>
      </c>
      <c r="D366">
        <v>1</v>
      </c>
      <c r="E366">
        <v>0</v>
      </c>
      <c r="F366">
        <v>1</v>
      </c>
      <c r="G366">
        <v>0</v>
      </c>
      <c r="H366">
        <f t="shared" si="5"/>
        <v>3</v>
      </c>
    </row>
    <row r="367" spans="1:8">
      <c r="A367">
        <v>2106</v>
      </c>
      <c r="C367">
        <v>1</v>
      </c>
      <c r="D367">
        <v>1</v>
      </c>
      <c r="E367">
        <v>0</v>
      </c>
      <c r="F367">
        <v>1</v>
      </c>
      <c r="G367">
        <v>0</v>
      </c>
      <c r="H367">
        <f t="shared" si="5"/>
        <v>3</v>
      </c>
    </row>
    <row r="368" spans="1:8">
      <c r="A368">
        <v>2108</v>
      </c>
      <c r="C368">
        <v>1</v>
      </c>
      <c r="D368">
        <v>1</v>
      </c>
      <c r="E368">
        <v>0</v>
      </c>
      <c r="F368">
        <v>1</v>
      </c>
      <c r="G368">
        <v>0</v>
      </c>
      <c r="H368">
        <f t="shared" si="5"/>
        <v>3</v>
      </c>
    </row>
    <row r="369" spans="1:8">
      <c r="A369">
        <v>2115</v>
      </c>
      <c r="C369">
        <v>1</v>
      </c>
      <c r="D369">
        <v>1</v>
      </c>
      <c r="E369">
        <v>0</v>
      </c>
      <c r="F369">
        <v>1</v>
      </c>
      <c r="G369">
        <v>0</v>
      </c>
      <c r="H369">
        <f t="shared" si="5"/>
        <v>3</v>
      </c>
    </row>
    <row r="370" spans="1:8">
      <c r="A370">
        <v>2204</v>
      </c>
      <c r="C370">
        <v>0</v>
      </c>
      <c r="D370">
        <v>1</v>
      </c>
      <c r="E370">
        <v>1</v>
      </c>
      <c r="F370">
        <v>1</v>
      </c>
      <c r="G370">
        <v>0</v>
      </c>
      <c r="H370">
        <f t="shared" si="5"/>
        <v>3</v>
      </c>
    </row>
    <row r="371" spans="1:8">
      <c r="A371">
        <v>2235</v>
      </c>
      <c r="C371">
        <v>1</v>
      </c>
      <c r="D371">
        <v>1</v>
      </c>
      <c r="E371">
        <v>1</v>
      </c>
      <c r="F371">
        <v>0</v>
      </c>
      <c r="G371">
        <v>0</v>
      </c>
      <c r="H371">
        <f t="shared" si="5"/>
        <v>3</v>
      </c>
    </row>
    <row r="372" spans="1:8">
      <c r="A372">
        <v>2301</v>
      </c>
      <c r="C372">
        <v>1</v>
      </c>
      <c r="D372">
        <v>1</v>
      </c>
      <c r="E372">
        <v>0</v>
      </c>
      <c r="F372">
        <v>1</v>
      </c>
      <c r="G372">
        <v>0</v>
      </c>
      <c r="H372">
        <f t="shared" si="5"/>
        <v>3</v>
      </c>
    </row>
    <row r="373" spans="1:8">
      <c r="A373">
        <v>2327</v>
      </c>
      <c r="C373">
        <v>1</v>
      </c>
      <c r="D373">
        <v>1</v>
      </c>
      <c r="E373">
        <v>0</v>
      </c>
      <c r="F373">
        <v>1</v>
      </c>
      <c r="G373">
        <v>0</v>
      </c>
      <c r="H373">
        <f t="shared" si="5"/>
        <v>3</v>
      </c>
    </row>
    <row r="374" spans="1:8">
      <c r="A374">
        <v>2337</v>
      </c>
      <c r="C374">
        <v>0</v>
      </c>
      <c r="D374">
        <v>1</v>
      </c>
      <c r="E374">
        <v>1</v>
      </c>
      <c r="F374">
        <v>1</v>
      </c>
      <c r="G374">
        <v>0</v>
      </c>
      <c r="H374">
        <f t="shared" si="5"/>
        <v>3</v>
      </c>
    </row>
    <row r="375" spans="1:8">
      <c r="A375">
        <v>2338</v>
      </c>
      <c r="C375">
        <v>1</v>
      </c>
      <c r="D375">
        <v>1</v>
      </c>
      <c r="E375">
        <v>0</v>
      </c>
      <c r="F375">
        <v>1</v>
      </c>
      <c r="G375">
        <v>0</v>
      </c>
      <c r="H375">
        <f t="shared" si="5"/>
        <v>3</v>
      </c>
    </row>
    <row r="376" spans="1:8">
      <c r="A376">
        <v>2340</v>
      </c>
      <c r="C376">
        <v>1</v>
      </c>
      <c r="D376">
        <v>1</v>
      </c>
      <c r="E376">
        <v>0</v>
      </c>
      <c r="F376">
        <v>1</v>
      </c>
      <c r="G376">
        <v>0</v>
      </c>
      <c r="H376">
        <f t="shared" si="5"/>
        <v>3</v>
      </c>
    </row>
    <row r="377" spans="1:8">
      <c r="A377">
        <v>2355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2361</v>
      </c>
      <c r="C378">
        <v>1</v>
      </c>
      <c r="D378">
        <v>1</v>
      </c>
      <c r="E378">
        <v>0</v>
      </c>
      <c r="F378">
        <v>1</v>
      </c>
      <c r="G378">
        <v>0</v>
      </c>
      <c r="H378">
        <f t="shared" si="5"/>
        <v>3</v>
      </c>
    </row>
    <row r="379" spans="1:8">
      <c r="A379">
        <v>2367</v>
      </c>
      <c r="C379">
        <v>1</v>
      </c>
      <c r="D379">
        <v>1</v>
      </c>
      <c r="E379">
        <v>0</v>
      </c>
      <c r="F379">
        <v>1</v>
      </c>
      <c r="G379">
        <v>0</v>
      </c>
      <c r="H379">
        <f t="shared" si="5"/>
        <v>3</v>
      </c>
    </row>
    <row r="380" spans="1:8">
      <c r="A380">
        <v>2390</v>
      </c>
      <c r="C380">
        <v>1</v>
      </c>
      <c r="D380">
        <v>1</v>
      </c>
      <c r="E380">
        <v>1</v>
      </c>
      <c r="F380">
        <v>0</v>
      </c>
      <c r="G380">
        <v>0</v>
      </c>
      <c r="H380">
        <f t="shared" si="5"/>
        <v>3</v>
      </c>
    </row>
    <row r="381" spans="1:8">
      <c r="A381">
        <v>2392</v>
      </c>
      <c r="C381">
        <v>1</v>
      </c>
      <c r="D381">
        <v>1</v>
      </c>
      <c r="E381">
        <v>1</v>
      </c>
      <c r="F381">
        <v>0</v>
      </c>
      <c r="G381">
        <v>0</v>
      </c>
      <c r="H381">
        <f t="shared" si="5"/>
        <v>3</v>
      </c>
    </row>
    <row r="382" spans="1:8">
      <c r="A382">
        <v>2397</v>
      </c>
      <c r="C382">
        <v>1</v>
      </c>
      <c r="D382">
        <v>1</v>
      </c>
      <c r="E382">
        <v>0</v>
      </c>
      <c r="F382">
        <v>1</v>
      </c>
      <c r="G382">
        <v>0</v>
      </c>
      <c r="H382">
        <f t="shared" si="5"/>
        <v>3</v>
      </c>
    </row>
    <row r="383" spans="1:8">
      <c r="A383">
        <v>2399</v>
      </c>
      <c r="C383">
        <v>0</v>
      </c>
      <c r="D383">
        <v>1</v>
      </c>
      <c r="E383">
        <v>1</v>
      </c>
      <c r="F383">
        <v>1</v>
      </c>
      <c r="G383">
        <v>0</v>
      </c>
      <c r="H383">
        <f t="shared" si="5"/>
        <v>3</v>
      </c>
    </row>
    <row r="384" spans="1:8">
      <c r="A384">
        <v>2404</v>
      </c>
      <c r="C384">
        <v>0</v>
      </c>
      <c r="D384">
        <v>1</v>
      </c>
      <c r="E384">
        <v>1</v>
      </c>
      <c r="F384">
        <v>1</v>
      </c>
      <c r="G384">
        <v>0</v>
      </c>
      <c r="H384">
        <f t="shared" si="5"/>
        <v>3</v>
      </c>
    </row>
    <row r="385" spans="1:8">
      <c r="A385">
        <v>2412</v>
      </c>
      <c r="C385">
        <v>1</v>
      </c>
      <c r="D385">
        <v>1</v>
      </c>
      <c r="E385">
        <v>0</v>
      </c>
      <c r="F385">
        <v>1</v>
      </c>
      <c r="G385">
        <v>0</v>
      </c>
      <c r="H385">
        <f t="shared" si="5"/>
        <v>3</v>
      </c>
    </row>
    <row r="386" spans="1:8">
      <c r="A386">
        <v>2420</v>
      </c>
      <c r="C386">
        <v>1</v>
      </c>
      <c r="D386">
        <v>1</v>
      </c>
      <c r="E386">
        <v>0</v>
      </c>
      <c r="F386">
        <v>1</v>
      </c>
      <c r="G386">
        <v>0</v>
      </c>
      <c r="H386">
        <f t="shared" ref="H386:H449" si="6">SUM(C386:G386)</f>
        <v>3</v>
      </c>
    </row>
    <row r="387" spans="1:8">
      <c r="A387">
        <v>2427</v>
      </c>
      <c r="C387">
        <v>1</v>
      </c>
      <c r="D387">
        <v>1</v>
      </c>
      <c r="E387">
        <v>1</v>
      </c>
      <c r="F387">
        <v>0</v>
      </c>
      <c r="G387">
        <v>0</v>
      </c>
      <c r="H387">
        <f t="shared" si="6"/>
        <v>3</v>
      </c>
    </row>
    <row r="388" spans="1:8">
      <c r="A388">
        <v>2428</v>
      </c>
      <c r="C388">
        <v>1</v>
      </c>
      <c r="D388">
        <v>1</v>
      </c>
      <c r="E388">
        <v>0</v>
      </c>
      <c r="F388">
        <v>1</v>
      </c>
      <c r="G388">
        <v>0</v>
      </c>
      <c r="H388">
        <f t="shared" si="6"/>
        <v>3</v>
      </c>
    </row>
    <row r="389" spans="1:8">
      <c r="A389">
        <v>2429</v>
      </c>
      <c r="C389">
        <v>0</v>
      </c>
      <c r="D389">
        <v>1</v>
      </c>
      <c r="E389">
        <v>1</v>
      </c>
      <c r="F389">
        <v>1</v>
      </c>
      <c r="G389">
        <v>0</v>
      </c>
      <c r="H389">
        <f t="shared" si="6"/>
        <v>3</v>
      </c>
    </row>
    <row r="390" spans="1:8">
      <c r="A390">
        <v>2431</v>
      </c>
      <c r="C390">
        <v>0</v>
      </c>
      <c r="D390">
        <v>1</v>
      </c>
      <c r="E390">
        <v>1</v>
      </c>
      <c r="F390">
        <v>1</v>
      </c>
      <c r="G390">
        <v>0</v>
      </c>
      <c r="H390">
        <f t="shared" si="6"/>
        <v>3</v>
      </c>
    </row>
    <row r="391" spans="1:8">
      <c r="A391">
        <v>2434</v>
      </c>
      <c r="C391">
        <v>0</v>
      </c>
      <c r="D391">
        <v>0</v>
      </c>
      <c r="E391">
        <v>2</v>
      </c>
      <c r="F391">
        <v>1</v>
      </c>
      <c r="G391">
        <v>0</v>
      </c>
      <c r="H391">
        <f t="shared" si="6"/>
        <v>3</v>
      </c>
    </row>
    <row r="392" spans="1:8">
      <c r="A392">
        <v>2437</v>
      </c>
      <c r="C392">
        <v>1</v>
      </c>
      <c r="D392">
        <v>1</v>
      </c>
      <c r="E392">
        <v>0</v>
      </c>
      <c r="F392">
        <v>1</v>
      </c>
      <c r="G392">
        <v>0</v>
      </c>
      <c r="H392">
        <f t="shared" si="6"/>
        <v>3</v>
      </c>
    </row>
    <row r="393" spans="1:8">
      <c r="A393">
        <v>2450</v>
      </c>
      <c r="C393">
        <v>0</v>
      </c>
      <c r="D393">
        <v>1</v>
      </c>
      <c r="E393">
        <v>1</v>
      </c>
      <c r="F393">
        <v>1</v>
      </c>
      <c r="G393">
        <v>0</v>
      </c>
      <c r="H393">
        <f t="shared" si="6"/>
        <v>3</v>
      </c>
    </row>
    <row r="394" spans="1:8">
      <c r="A394">
        <v>2451</v>
      </c>
      <c r="C394">
        <v>1</v>
      </c>
      <c r="D394">
        <v>1</v>
      </c>
      <c r="E394">
        <v>0</v>
      </c>
      <c r="F394">
        <v>1</v>
      </c>
      <c r="G394">
        <v>0</v>
      </c>
      <c r="H394">
        <f t="shared" si="6"/>
        <v>3</v>
      </c>
    </row>
    <row r="395" spans="1:8">
      <c r="A395">
        <v>2453</v>
      </c>
      <c r="C395">
        <v>1</v>
      </c>
      <c r="D395">
        <v>1</v>
      </c>
      <c r="E395">
        <v>1</v>
      </c>
      <c r="F395">
        <v>0</v>
      </c>
      <c r="G395">
        <v>0</v>
      </c>
      <c r="H395">
        <f t="shared" si="6"/>
        <v>3</v>
      </c>
    </row>
    <row r="396" spans="1:8">
      <c r="A396">
        <v>2460</v>
      </c>
      <c r="C396">
        <v>0</v>
      </c>
      <c r="D396">
        <v>0</v>
      </c>
      <c r="E396">
        <v>2</v>
      </c>
      <c r="F396">
        <v>1</v>
      </c>
      <c r="G396">
        <v>0</v>
      </c>
      <c r="H396">
        <f t="shared" si="6"/>
        <v>3</v>
      </c>
    </row>
    <row r="397" spans="1:8">
      <c r="A397">
        <v>2461</v>
      </c>
      <c r="C397">
        <v>1</v>
      </c>
      <c r="D397">
        <v>1</v>
      </c>
      <c r="E397">
        <v>1</v>
      </c>
      <c r="F397">
        <v>0</v>
      </c>
      <c r="G397">
        <v>0</v>
      </c>
      <c r="H397">
        <f t="shared" si="6"/>
        <v>3</v>
      </c>
    </row>
    <row r="398" spans="1:8">
      <c r="A398">
        <v>2464</v>
      </c>
      <c r="C398">
        <v>1</v>
      </c>
      <c r="D398">
        <v>1</v>
      </c>
      <c r="E398">
        <v>0</v>
      </c>
      <c r="F398">
        <v>0</v>
      </c>
      <c r="G398">
        <v>1</v>
      </c>
      <c r="H398">
        <f t="shared" si="6"/>
        <v>3</v>
      </c>
    </row>
    <row r="399" spans="1:8">
      <c r="A399">
        <v>2466</v>
      </c>
      <c r="C399">
        <v>1</v>
      </c>
      <c r="D399">
        <v>1</v>
      </c>
      <c r="E399">
        <v>1</v>
      </c>
      <c r="F399">
        <v>0</v>
      </c>
      <c r="G399">
        <v>0</v>
      </c>
      <c r="H399">
        <f t="shared" si="6"/>
        <v>3</v>
      </c>
    </row>
    <row r="400" spans="1:8">
      <c r="A400">
        <v>2471</v>
      </c>
      <c r="C400">
        <v>0</v>
      </c>
      <c r="D400">
        <v>1</v>
      </c>
      <c r="E400">
        <v>2</v>
      </c>
      <c r="F400">
        <v>0</v>
      </c>
      <c r="G400">
        <v>0</v>
      </c>
      <c r="H400">
        <f t="shared" si="6"/>
        <v>3</v>
      </c>
    </row>
    <row r="401" spans="1:8">
      <c r="A401">
        <v>2472</v>
      </c>
      <c r="C401">
        <v>1</v>
      </c>
      <c r="D401">
        <v>1</v>
      </c>
      <c r="E401">
        <v>0</v>
      </c>
      <c r="F401">
        <v>1</v>
      </c>
      <c r="G401">
        <v>0</v>
      </c>
      <c r="H401">
        <f t="shared" si="6"/>
        <v>3</v>
      </c>
    </row>
    <row r="402" spans="1:8">
      <c r="A402">
        <v>2474</v>
      </c>
      <c r="C402">
        <v>1</v>
      </c>
      <c r="D402">
        <v>1</v>
      </c>
      <c r="E402">
        <v>0</v>
      </c>
      <c r="F402">
        <v>1</v>
      </c>
      <c r="G402">
        <v>0</v>
      </c>
      <c r="H402">
        <f t="shared" si="6"/>
        <v>3</v>
      </c>
    </row>
    <row r="403" spans="1:8">
      <c r="A403">
        <v>2476</v>
      </c>
      <c r="C403">
        <v>1</v>
      </c>
      <c r="D403">
        <v>1</v>
      </c>
      <c r="E403">
        <v>0</v>
      </c>
      <c r="F403">
        <v>1</v>
      </c>
      <c r="G403">
        <v>0</v>
      </c>
      <c r="H403">
        <f t="shared" si="6"/>
        <v>3</v>
      </c>
    </row>
    <row r="404" spans="1:8">
      <c r="A404">
        <v>2480</v>
      </c>
      <c r="C404">
        <v>0</v>
      </c>
      <c r="D404">
        <v>1</v>
      </c>
      <c r="E404">
        <v>1</v>
      </c>
      <c r="F404">
        <v>1</v>
      </c>
      <c r="G404">
        <v>0</v>
      </c>
      <c r="H404">
        <f t="shared" si="6"/>
        <v>3</v>
      </c>
    </row>
    <row r="405" spans="1:8">
      <c r="A405">
        <v>2493</v>
      </c>
      <c r="C405">
        <v>1</v>
      </c>
      <c r="D405">
        <v>1</v>
      </c>
      <c r="E405">
        <v>0</v>
      </c>
      <c r="F405">
        <v>1</v>
      </c>
      <c r="G405">
        <v>0</v>
      </c>
      <c r="H405">
        <f t="shared" si="6"/>
        <v>3</v>
      </c>
    </row>
    <row r="406" spans="1:8">
      <c r="A406">
        <v>2495</v>
      </c>
      <c r="C406">
        <v>1</v>
      </c>
      <c r="D406">
        <v>1</v>
      </c>
      <c r="E406">
        <v>0</v>
      </c>
      <c r="F406">
        <v>1</v>
      </c>
      <c r="G406">
        <v>0</v>
      </c>
      <c r="H406">
        <f t="shared" si="6"/>
        <v>3</v>
      </c>
    </row>
    <row r="407" spans="1:8">
      <c r="A407">
        <v>2520</v>
      </c>
      <c r="C407">
        <v>0</v>
      </c>
      <c r="D407">
        <v>1</v>
      </c>
      <c r="E407">
        <v>2</v>
      </c>
      <c r="F407">
        <v>0</v>
      </c>
      <c r="G407">
        <v>0</v>
      </c>
      <c r="H407">
        <f t="shared" si="6"/>
        <v>3</v>
      </c>
    </row>
    <row r="408" spans="1:8">
      <c r="A408">
        <v>2535</v>
      </c>
      <c r="C408">
        <v>0</v>
      </c>
      <c r="D408">
        <v>1</v>
      </c>
      <c r="E408">
        <v>2</v>
      </c>
      <c r="F408">
        <v>0</v>
      </c>
      <c r="G408">
        <v>0</v>
      </c>
      <c r="H408">
        <f t="shared" si="6"/>
        <v>3</v>
      </c>
    </row>
    <row r="409" spans="1:8">
      <c r="A409">
        <v>2536</v>
      </c>
      <c r="C409">
        <v>0</v>
      </c>
      <c r="D409">
        <v>1</v>
      </c>
      <c r="E409">
        <v>2</v>
      </c>
      <c r="F409">
        <v>0</v>
      </c>
      <c r="G409">
        <v>0</v>
      </c>
      <c r="H409">
        <f t="shared" si="6"/>
        <v>3</v>
      </c>
    </row>
    <row r="410" spans="1:8">
      <c r="A410">
        <v>2537</v>
      </c>
      <c r="C410">
        <v>0</v>
      </c>
      <c r="D410">
        <v>1</v>
      </c>
      <c r="E410">
        <v>2</v>
      </c>
      <c r="F410">
        <v>0</v>
      </c>
      <c r="G410">
        <v>0</v>
      </c>
      <c r="H410">
        <f t="shared" si="6"/>
        <v>3</v>
      </c>
    </row>
    <row r="411" spans="1:8">
      <c r="A411">
        <v>2546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2606</v>
      </c>
      <c r="C412">
        <v>0</v>
      </c>
      <c r="D412">
        <v>1</v>
      </c>
      <c r="E412">
        <v>1</v>
      </c>
      <c r="F412">
        <v>1</v>
      </c>
      <c r="G412">
        <v>0</v>
      </c>
      <c r="H412">
        <f t="shared" si="6"/>
        <v>3</v>
      </c>
    </row>
    <row r="413" spans="1:8">
      <c r="A413">
        <v>2608</v>
      </c>
      <c r="C413">
        <v>0</v>
      </c>
      <c r="D413">
        <v>1</v>
      </c>
      <c r="E413">
        <v>0</v>
      </c>
      <c r="F413">
        <v>1</v>
      </c>
      <c r="G413">
        <v>1</v>
      </c>
      <c r="H413">
        <f t="shared" si="6"/>
        <v>3</v>
      </c>
    </row>
    <row r="414" spans="1:8">
      <c r="A414">
        <v>2614</v>
      </c>
      <c r="C414">
        <v>0</v>
      </c>
      <c r="D414">
        <v>1</v>
      </c>
      <c r="E414">
        <v>2</v>
      </c>
      <c r="F414">
        <v>0</v>
      </c>
      <c r="G414">
        <v>0</v>
      </c>
      <c r="H414">
        <f t="shared" si="6"/>
        <v>3</v>
      </c>
    </row>
    <row r="415" spans="1:8">
      <c r="A415">
        <v>2616</v>
      </c>
      <c r="C415">
        <v>0</v>
      </c>
      <c r="D415">
        <v>1</v>
      </c>
      <c r="E415">
        <v>1</v>
      </c>
      <c r="F415">
        <v>1</v>
      </c>
      <c r="G415">
        <v>0</v>
      </c>
      <c r="H415">
        <f t="shared" si="6"/>
        <v>3</v>
      </c>
    </row>
    <row r="416" spans="1:8">
      <c r="A416">
        <v>2617</v>
      </c>
      <c r="C416">
        <v>0</v>
      </c>
      <c r="D416">
        <v>1</v>
      </c>
      <c r="E416">
        <v>1</v>
      </c>
      <c r="F416">
        <v>1</v>
      </c>
      <c r="G416">
        <v>0</v>
      </c>
      <c r="H416">
        <f t="shared" si="6"/>
        <v>3</v>
      </c>
    </row>
    <row r="417" spans="1:8">
      <c r="A417">
        <v>2634</v>
      </c>
      <c r="C417">
        <v>1</v>
      </c>
      <c r="D417">
        <v>1</v>
      </c>
      <c r="E417">
        <v>0</v>
      </c>
      <c r="F417">
        <v>1</v>
      </c>
      <c r="G417">
        <v>0</v>
      </c>
      <c r="H417">
        <f t="shared" si="6"/>
        <v>3</v>
      </c>
    </row>
    <row r="418" spans="1:8">
      <c r="A418">
        <v>2642</v>
      </c>
      <c r="C418">
        <v>0</v>
      </c>
      <c r="D418">
        <v>0</v>
      </c>
      <c r="E418">
        <v>2</v>
      </c>
      <c r="F418">
        <v>1</v>
      </c>
      <c r="G418">
        <v>0</v>
      </c>
      <c r="H418">
        <f t="shared" si="6"/>
        <v>3</v>
      </c>
    </row>
    <row r="419" spans="1:8">
      <c r="A419">
        <v>2718</v>
      </c>
      <c r="C419">
        <v>0</v>
      </c>
      <c r="D419">
        <v>1</v>
      </c>
      <c r="E419">
        <v>1</v>
      </c>
      <c r="F419">
        <v>1</v>
      </c>
      <c r="G419">
        <v>0</v>
      </c>
      <c r="H419">
        <f t="shared" si="6"/>
        <v>3</v>
      </c>
    </row>
    <row r="420" spans="1:8">
      <c r="A420">
        <v>2724</v>
      </c>
      <c r="C420">
        <v>0</v>
      </c>
      <c r="D420">
        <v>0</v>
      </c>
      <c r="E420">
        <v>2</v>
      </c>
      <c r="F420">
        <v>1</v>
      </c>
      <c r="G420">
        <v>0</v>
      </c>
      <c r="H420">
        <f t="shared" si="6"/>
        <v>3</v>
      </c>
    </row>
    <row r="421" spans="1:8">
      <c r="A421">
        <v>2734</v>
      </c>
      <c r="C421">
        <v>0</v>
      </c>
      <c r="D421">
        <v>0</v>
      </c>
      <c r="E421">
        <v>2</v>
      </c>
      <c r="F421">
        <v>0</v>
      </c>
      <c r="G421">
        <v>1</v>
      </c>
      <c r="H421">
        <f t="shared" si="6"/>
        <v>3</v>
      </c>
    </row>
    <row r="422" spans="1:8">
      <c r="A422">
        <v>2901</v>
      </c>
      <c r="C422">
        <v>1</v>
      </c>
      <c r="D422">
        <v>1</v>
      </c>
      <c r="E422">
        <v>0</v>
      </c>
      <c r="F422">
        <v>1</v>
      </c>
      <c r="G422">
        <v>0</v>
      </c>
      <c r="H422">
        <f t="shared" si="6"/>
        <v>3</v>
      </c>
    </row>
    <row r="423" spans="1:8">
      <c r="A423">
        <v>2904</v>
      </c>
      <c r="C423">
        <v>0</v>
      </c>
      <c r="D423">
        <v>1</v>
      </c>
      <c r="E423">
        <v>1</v>
      </c>
      <c r="F423">
        <v>1</v>
      </c>
      <c r="G423">
        <v>0</v>
      </c>
      <c r="H423">
        <f t="shared" si="6"/>
        <v>3</v>
      </c>
    </row>
    <row r="424" spans="1:8">
      <c r="A424">
        <v>2915</v>
      </c>
      <c r="C424">
        <v>0</v>
      </c>
      <c r="D424">
        <v>1</v>
      </c>
      <c r="E424">
        <v>1</v>
      </c>
      <c r="F424">
        <v>1</v>
      </c>
      <c r="G424">
        <v>0</v>
      </c>
      <c r="H424">
        <f t="shared" si="6"/>
        <v>3</v>
      </c>
    </row>
    <row r="425" spans="1:8">
      <c r="A425">
        <v>3002</v>
      </c>
      <c r="C425">
        <v>0</v>
      </c>
      <c r="D425">
        <v>0</v>
      </c>
      <c r="E425">
        <v>2</v>
      </c>
      <c r="F425">
        <v>1</v>
      </c>
      <c r="G425">
        <v>0</v>
      </c>
      <c r="H425">
        <f t="shared" si="6"/>
        <v>3</v>
      </c>
    </row>
    <row r="426" spans="1:8">
      <c r="A426">
        <v>3008</v>
      </c>
      <c r="C426">
        <v>1</v>
      </c>
      <c r="D426">
        <v>1</v>
      </c>
      <c r="E426">
        <v>0</v>
      </c>
      <c r="F426">
        <v>1</v>
      </c>
      <c r="G426">
        <v>0</v>
      </c>
      <c r="H426">
        <f t="shared" si="6"/>
        <v>3</v>
      </c>
    </row>
    <row r="427" spans="1:8">
      <c r="A427">
        <v>3014</v>
      </c>
      <c r="C427">
        <v>0</v>
      </c>
      <c r="D427">
        <v>1</v>
      </c>
      <c r="E427">
        <v>1</v>
      </c>
      <c r="F427">
        <v>1</v>
      </c>
      <c r="G427">
        <v>0</v>
      </c>
      <c r="H427">
        <f t="shared" si="6"/>
        <v>3</v>
      </c>
    </row>
    <row r="428" spans="1:8">
      <c r="A428">
        <v>3015</v>
      </c>
      <c r="C428">
        <v>1</v>
      </c>
      <c r="D428">
        <v>1</v>
      </c>
      <c r="E428">
        <v>0</v>
      </c>
      <c r="F428">
        <v>1</v>
      </c>
      <c r="G428">
        <v>0</v>
      </c>
      <c r="H428">
        <f t="shared" si="6"/>
        <v>3</v>
      </c>
    </row>
    <row r="429" spans="1:8">
      <c r="A429">
        <v>3017</v>
      </c>
      <c r="C429">
        <v>0</v>
      </c>
      <c r="D429">
        <v>1</v>
      </c>
      <c r="E429">
        <v>2</v>
      </c>
      <c r="F429">
        <v>0</v>
      </c>
      <c r="G429">
        <v>0</v>
      </c>
      <c r="H429">
        <f t="shared" si="6"/>
        <v>3</v>
      </c>
    </row>
    <row r="430" spans="1:8">
      <c r="A430">
        <v>3021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3023</v>
      </c>
      <c r="C431">
        <v>1</v>
      </c>
      <c r="D431">
        <v>1</v>
      </c>
      <c r="E431">
        <v>0</v>
      </c>
      <c r="F431">
        <v>1</v>
      </c>
      <c r="G431">
        <v>0</v>
      </c>
      <c r="H431">
        <f t="shared" si="6"/>
        <v>3</v>
      </c>
    </row>
    <row r="432" spans="1:8">
      <c r="A432">
        <v>3031</v>
      </c>
      <c r="C432">
        <v>1</v>
      </c>
      <c r="D432">
        <v>1</v>
      </c>
      <c r="E432">
        <v>0</v>
      </c>
      <c r="F432">
        <v>1</v>
      </c>
      <c r="G432">
        <v>0</v>
      </c>
      <c r="H432">
        <f t="shared" si="6"/>
        <v>3</v>
      </c>
    </row>
    <row r="433" spans="1:8">
      <c r="A433">
        <v>3033</v>
      </c>
      <c r="C433">
        <v>0</v>
      </c>
      <c r="D433">
        <v>1</v>
      </c>
      <c r="E433">
        <v>2</v>
      </c>
      <c r="F433">
        <v>0</v>
      </c>
      <c r="G433">
        <v>0</v>
      </c>
      <c r="H433">
        <f t="shared" si="6"/>
        <v>3</v>
      </c>
    </row>
    <row r="434" spans="1:8">
      <c r="A434">
        <v>3034</v>
      </c>
      <c r="C434">
        <v>0</v>
      </c>
      <c r="D434">
        <v>1</v>
      </c>
      <c r="E434">
        <v>1</v>
      </c>
      <c r="F434">
        <v>1</v>
      </c>
      <c r="G434">
        <v>0</v>
      </c>
      <c r="H434">
        <f t="shared" si="6"/>
        <v>3</v>
      </c>
    </row>
    <row r="435" spans="1:8">
      <c r="A435">
        <v>3037</v>
      </c>
      <c r="C435">
        <v>0</v>
      </c>
      <c r="D435">
        <v>1</v>
      </c>
      <c r="E435">
        <v>1</v>
      </c>
      <c r="F435">
        <v>1</v>
      </c>
      <c r="G435">
        <v>0</v>
      </c>
      <c r="H435">
        <f t="shared" si="6"/>
        <v>3</v>
      </c>
    </row>
    <row r="436" spans="1:8">
      <c r="A436">
        <v>3038</v>
      </c>
      <c r="C436">
        <v>1</v>
      </c>
      <c r="D436">
        <v>1</v>
      </c>
      <c r="E436">
        <v>0</v>
      </c>
      <c r="F436">
        <v>1</v>
      </c>
      <c r="G436">
        <v>0</v>
      </c>
      <c r="H436">
        <f t="shared" si="6"/>
        <v>3</v>
      </c>
    </row>
    <row r="437" spans="1:8">
      <c r="A437">
        <v>3047</v>
      </c>
      <c r="C437">
        <v>1</v>
      </c>
      <c r="D437">
        <v>1</v>
      </c>
      <c r="E437">
        <v>0</v>
      </c>
      <c r="F437">
        <v>1</v>
      </c>
      <c r="G437">
        <v>0</v>
      </c>
      <c r="H437">
        <f t="shared" si="6"/>
        <v>3</v>
      </c>
    </row>
    <row r="438" spans="1:8">
      <c r="A438">
        <v>3059</v>
      </c>
      <c r="C438">
        <v>1</v>
      </c>
      <c r="D438">
        <v>1</v>
      </c>
      <c r="E438">
        <v>1</v>
      </c>
      <c r="F438">
        <v>0</v>
      </c>
      <c r="G438">
        <v>0</v>
      </c>
      <c r="H438">
        <f t="shared" si="6"/>
        <v>3</v>
      </c>
    </row>
    <row r="439" spans="1:8">
      <c r="A439">
        <v>3060</v>
      </c>
      <c r="C439">
        <v>1</v>
      </c>
      <c r="D439">
        <v>1</v>
      </c>
      <c r="E439">
        <v>0</v>
      </c>
      <c r="F439">
        <v>1</v>
      </c>
      <c r="G439">
        <v>0</v>
      </c>
      <c r="H439">
        <f t="shared" si="6"/>
        <v>3</v>
      </c>
    </row>
    <row r="440" spans="1:8">
      <c r="A440">
        <v>3085</v>
      </c>
      <c r="C440">
        <v>1</v>
      </c>
      <c r="D440">
        <v>1</v>
      </c>
      <c r="E440">
        <v>1</v>
      </c>
      <c r="F440">
        <v>0</v>
      </c>
      <c r="G440">
        <v>0</v>
      </c>
      <c r="H440">
        <f t="shared" si="6"/>
        <v>3</v>
      </c>
    </row>
    <row r="441" spans="1:8">
      <c r="A441">
        <v>3086</v>
      </c>
      <c r="C441">
        <v>1</v>
      </c>
      <c r="D441">
        <v>1</v>
      </c>
      <c r="E441">
        <v>1</v>
      </c>
      <c r="F441">
        <v>0</v>
      </c>
      <c r="G441">
        <v>0</v>
      </c>
      <c r="H441">
        <f t="shared" si="6"/>
        <v>3</v>
      </c>
    </row>
    <row r="442" spans="1:8">
      <c r="A442">
        <v>3118</v>
      </c>
      <c r="C442">
        <v>0</v>
      </c>
      <c r="D442">
        <v>1</v>
      </c>
      <c r="E442">
        <v>1</v>
      </c>
      <c r="F442">
        <v>1</v>
      </c>
      <c r="G442">
        <v>0</v>
      </c>
      <c r="H442">
        <f t="shared" si="6"/>
        <v>3</v>
      </c>
    </row>
    <row r="443" spans="1:8">
      <c r="A443">
        <v>3149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3164</v>
      </c>
      <c r="C444">
        <v>1</v>
      </c>
      <c r="D444">
        <v>1</v>
      </c>
      <c r="E444">
        <v>0</v>
      </c>
      <c r="F444">
        <v>1</v>
      </c>
      <c r="G444">
        <v>0</v>
      </c>
      <c r="H444">
        <f t="shared" si="6"/>
        <v>3</v>
      </c>
    </row>
    <row r="445" spans="1:8">
      <c r="A445">
        <v>3167</v>
      </c>
      <c r="C445">
        <v>1</v>
      </c>
      <c r="D445">
        <v>1</v>
      </c>
      <c r="E445">
        <v>0</v>
      </c>
      <c r="F445">
        <v>1</v>
      </c>
      <c r="G445">
        <v>0</v>
      </c>
      <c r="H445">
        <f t="shared" si="6"/>
        <v>3</v>
      </c>
    </row>
    <row r="446" spans="1:8">
      <c r="A446">
        <v>3171</v>
      </c>
      <c r="C446">
        <v>0</v>
      </c>
      <c r="D446">
        <v>1</v>
      </c>
      <c r="E446">
        <v>1</v>
      </c>
      <c r="F446">
        <v>1</v>
      </c>
      <c r="G446">
        <v>0</v>
      </c>
      <c r="H446">
        <f t="shared" si="6"/>
        <v>3</v>
      </c>
    </row>
    <row r="447" spans="1:8">
      <c r="A447">
        <v>3207</v>
      </c>
      <c r="C447">
        <v>0</v>
      </c>
      <c r="D447">
        <v>1</v>
      </c>
      <c r="E447">
        <v>2</v>
      </c>
      <c r="F447">
        <v>0</v>
      </c>
      <c r="G447">
        <v>0</v>
      </c>
      <c r="H447">
        <f t="shared" si="6"/>
        <v>3</v>
      </c>
    </row>
    <row r="448" spans="1:8">
      <c r="A448">
        <v>3226</v>
      </c>
      <c r="C448">
        <v>1</v>
      </c>
      <c r="D448">
        <v>1</v>
      </c>
      <c r="E448">
        <v>0</v>
      </c>
      <c r="F448">
        <v>1</v>
      </c>
      <c r="G448">
        <v>0</v>
      </c>
      <c r="H448">
        <f t="shared" si="6"/>
        <v>3</v>
      </c>
    </row>
    <row r="449" spans="1:8">
      <c r="A449">
        <v>3227</v>
      </c>
      <c r="C449">
        <v>1</v>
      </c>
      <c r="D449">
        <v>1</v>
      </c>
      <c r="E449">
        <v>0</v>
      </c>
      <c r="F449">
        <v>1</v>
      </c>
      <c r="G449">
        <v>0</v>
      </c>
      <c r="H449">
        <f t="shared" si="6"/>
        <v>3</v>
      </c>
    </row>
    <row r="450" spans="1:8">
      <c r="A450">
        <v>3231</v>
      </c>
      <c r="C450">
        <v>0</v>
      </c>
      <c r="D450">
        <v>1</v>
      </c>
      <c r="E450">
        <v>1</v>
      </c>
      <c r="F450">
        <v>1</v>
      </c>
      <c r="G450">
        <v>0</v>
      </c>
      <c r="H450">
        <f t="shared" ref="H450:H513" si="7">SUM(C450:G450)</f>
        <v>3</v>
      </c>
    </row>
    <row r="451" spans="1:8">
      <c r="A451">
        <v>3266</v>
      </c>
      <c r="C451">
        <v>0</v>
      </c>
      <c r="D451">
        <v>0</v>
      </c>
      <c r="E451">
        <v>2</v>
      </c>
      <c r="F451">
        <v>1</v>
      </c>
      <c r="G451">
        <v>0</v>
      </c>
      <c r="H451">
        <f t="shared" si="7"/>
        <v>3</v>
      </c>
    </row>
    <row r="452" spans="1:8">
      <c r="A452">
        <v>3272</v>
      </c>
      <c r="C452">
        <v>0</v>
      </c>
      <c r="D452">
        <v>1</v>
      </c>
      <c r="E452">
        <v>1</v>
      </c>
      <c r="F452">
        <v>1</v>
      </c>
      <c r="G452">
        <v>0</v>
      </c>
      <c r="H452">
        <f t="shared" si="7"/>
        <v>3</v>
      </c>
    </row>
    <row r="453" spans="1:8">
      <c r="A453">
        <v>3287</v>
      </c>
      <c r="C453">
        <v>1</v>
      </c>
      <c r="D453">
        <v>1</v>
      </c>
      <c r="E453">
        <v>0</v>
      </c>
      <c r="F453">
        <v>1</v>
      </c>
      <c r="G453">
        <v>0</v>
      </c>
      <c r="H453">
        <f t="shared" si="7"/>
        <v>3</v>
      </c>
    </row>
    <row r="454" spans="1:8">
      <c r="A454">
        <v>3288</v>
      </c>
      <c r="C454">
        <v>0</v>
      </c>
      <c r="D454">
        <v>1</v>
      </c>
      <c r="E454">
        <v>1</v>
      </c>
      <c r="F454">
        <v>1</v>
      </c>
      <c r="G454">
        <v>0</v>
      </c>
      <c r="H454">
        <f t="shared" si="7"/>
        <v>3</v>
      </c>
    </row>
    <row r="455" spans="1:8">
      <c r="A455">
        <v>3291</v>
      </c>
      <c r="C455">
        <v>0</v>
      </c>
      <c r="D455">
        <v>1</v>
      </c>
      <c r="E455">
        <v>1</v>
      </c>
      <c r="F455">
        <v>1</v>
      </c>
      <c r="G455">
        <v>0</v>
      </c>
      <c r="H455">
        <f t="shared" si="7"/>
        <v>3</v>
      </c>
    </row>
    <row r="456" spans="1:8">
      <c r="A456">
        <v>3306</v>
      </c>
      <c r="C456">
        <v>0</v>
      </c>
      <c r="D456">
        <v>0</v>
      </c>
      <c r="E456">
        <v>2</v>
      </c>
      <c r="F456">
        <v>1</v>
      </c>
      <c r="G456">
        <v>0</v>
      </c>
      <c r="H456">
        <f t="shared" si="7"/>
        <v>3</v>
      </c>
    </row>
    <row r="457" spans="1:8">
      <c r="A457">
        <v>3312</v>
      </c>
      <c r="C457">
        <v>0</v>
      </c>
      <c r="D457">
        <v>1</v>
      </c>
      <c r="E457">
        <v>1</v>
      </c>
      <c r="F457">
        <v>1</v>
      </c>
      <c r="G457">
        <v>0</v>
      </c>
      <c r="H457">
        <f t="shared" si="7"/>
        <v>3</v>
      </c>
    </row>
    <row r="458" spans="1:8">
      <c r="A458">
        <v>3315</v>
      </c>
      <c r="C458">
        <v>0</v>
      </c>
      <c r="D458">
        <v>1</v>
      </c>
      <c r="E458">
        <v>1</v>
      </c>
      <c r="F458">
        <v>0</v>
      </c>
      <c r="G458">
        <v>1</v>
      </c>
      <c r="H458">
        <f t="shared" si="7"/>
        <v>3</v>
      </c>
    </row>
    <row r="459" spans="1:8">
      <c r="A459">
        <v>3325</v>
      </c>
      <c r="C459">
        <v>1</v>
      </c>
      <c r="D459">
        <v>1</v>
      </c>
      <c r="E459">
        <v>0</v>
      </c>
      <c r="F459">
        <v>1</v>
      </c>
      <c r="G459">
        <v>0</v>
      </c>
      <c r="H459">
        <f t="shared" si="7"/>
        <v>3</v>
      </c>
    </row>
    <row r="460" spans="1:8">
      <c r="A460">
        <v>3362</v>
      </c>
      <c r="C460">
        <v>0</v>
      </c>
      <c r="D460">
        <v>1</v>
      </c>
      <c r="E460">
        <v>2</v>
      </c>
      <c r="F460">
        <v>0</v>
      </c>
      <c r="G460">
        <v>0</v>
      </c>
      <c r="H460">
        <f t="shared" si="7"/>
        <v>3</v>
      </c>
    </row>
    <row r="461" spans="1:8">
      <c r="A461">
        <v>3363</v>
      </c>
      <c r="C461">
        <v>1</v>
      </c>
      <c r="D461">
        <v>1</v>
      </c>
      <c r="E461">
        <v>1</v>
      </c>
      <c r="F461">
        <v>0</v>
      </c>
      <c r="G461">
        <v>0</v>
      </c>
      <c r="H461">
        <f t="shared" si="7"/>
        <v>3</v>
      </c>
    </row>
    <row r="462" spans="1:8">
      <c r="A462">
        <v>3376</v>
      </c>
      <c r="C462">
        <v>1</v>
      </c>
      <c r="D462">
        <v>1</v>
      </c>
      <c r="E462">
        <v>0</v>
      </c>
      <c r="F462">
        <v>1</v>
      </c>
      <c r="G462">
        <v>0</v>
      </c>
      <c r="H462">
        <f t="shared" si="7"/>
        <v>3</v>
      </c>
    </row>
    <row r="463" spans="1:8">
      <c r="A463">
        <v>3443</v>
      </c>
      <c r="C463">
        <v>1</v>
      </c>
      <c r="D463">
        <v>1</v>
      </c>
      <c r="E463">
        <v>0</v>
      </c>
      <c r="F463">
        <v>1</v>
      </c>
      <c r="G463">
        <v>0</v>
      </c>
      <c r="H463">
        <f t="shared" si="7"/>
        <v>3</v>
      </c>
    </row>
    <row r="464" spans="1:8">
      <c r="A464">
        <v>3450</v>
      </c>
      <c r="C464">
        <v>1</v>
      </c>
      <c r="D464">
        <v>1</v>
      </c>
      <c r="E464">
        <v>0</v>
      </c>
      <c r="F464">
        <v>1</v>
      </c>
      <c r="G464">
        <v>0</v>
      </c>
      <c r="H464">
        <f t="shared" si="7"/>
        <v>3</v>
      </c>
    </row>
    <row r="465" spans="1:8">
      <c r="A465">
        <v>3474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3483</v>
      </c>
      <c r="C466">
        <v>0</v>
      </c>
      <c r="D466">
        <v>1</v>
      </c>
      <c r="E466">
        <v>2</v>
      </c>
      <c r="F466">
        <v>0</v>
      </c>
      <c r="G466">
        <v>0</v>
      </c>
      <c r="H466">
        <f t="shared" si="7"/>
        <v>3</v>
      </c>
    </row>
    <row r="467" spans="1:8">
      <c r="A467">
        <v>3489</v>
      </c>
      <c r="C467">
        <v>0</v>
      </c>
      <c r="D467">
        <v>1</v>
      </c>
      <c r="E467">
        <v>2</v>
      </c>
      <c r="F467">
        <v>0</v>
      </c>
      <c r="G467">
        <v>0</v>
      </c>
      <c r="H467">
        <f t="shared" si="7"/>
        <v>3</v>
      </c>
    </row>
    <row r="468" spans="1:8">
      <c r="A468">
        <v>3508</v>
      </c>
      <c r="C468">
        <v>0</v>
      </c>
      <c r="D468">
        <v>1</v>
      </c>
      <c r="E468">
        <v>1</v>
      </c>
      <c r="F468">
        <v>1</v>
      </c>
      <c r="G468">
        <v>0</v>
      </c>
      <c r="H468">
        <f t="shared" si="7"/>
        <v>3</v>
      </c>
    </row>
    <row r="469" spans="1:8">
      <c r="A469">
        <v>3514</v>
      </c>
      <c r="C469">
        <v>0</v>
      </c>
      <c r="D469">
        <v>1</v>
      </c>
      <c r="E469">
        <v>1</v>
      </c>
      <c r="F469">
        <v>1</v>
      </c>
      <c r="G469">
        <v>0</v>
      </c>
      <c r="H469">
        <f t="shared" si="7"/>
        <v>3</v>
      </c>
    </row>
    <row r="470" spans="1:8">
      <c r="A470">
        <v>3519</v>
      </c>
      <c r="C470">
        <v>0</v>
      </c>
      <c r="D470">
        <v>1</v>
      </c>
      <c r="E470">
        <v>2</v>
      </c>
      <c r="F470">
        <v>0</v>
      </c>
      <c r="G470">
        <v>0</v>
      </c>
      <c r="H470">
        <f t="shared" si="7"/>
        <v>3</v>
      </c>
    </row>
    <row r="471" spans="1:8">
      <c r="A471">
        <v>3521</v>
      </c>
      <c r="C471">
        <v>1</v>
      </c>
      <c r="D471">
        <v>1</v>
      </c>
      <c r="E471">
        <v>1</v>
      </c>
      <c r="F471">
        <v>0</v>
      </c>
      <c r="G471">
        <v>0</v>
      </c>
      <c r="H471">
        <f t="shared" si="7"/>
        <v>3</v>
      </c>
    </row>
    <row r="472" spans="1:8">
      <c r="A472">
        <v>3522</v>
      </c>
      <c r="C472">
        <v>0</v>
      </c>
      <c r="D472">
        <v>1</v>
      </c>
      <c r="E472">
        <v>2</v>
      </c>
      <c r="F472">
        <v>0</v>
      </c>
      <c r="G472">
        <v>0</v>
      </c>
      <c r="H472">
        <f t="shared" si="7"/>
        <v>3</v>
      </c>
    </row>
    <row r="473" spans="1:8">
      <c r="A473">
        <v>3532</v>
      </c>
      <c r="C473">
        <v>1</v>
      </c>
      <c r="D473">
        <v>1</v>
      </c>
      <c r="E473">
        <v>0</v>
      </c>
      <c r="F473">
        <v>1</v>
      </c>
      <c r="G473">
        <v>0</v>
      </c>
      <c r="H473">
        <f t="shared" si="7"/>
        <v>3</v>
      </c>
    </row>
    <row r="474" spans="1:8">
      <c r="A474">
        <v>3541</v>
      </c>
      <c r="C474">
        <v>0</v>
      </c>
      <c r="D474">
        <v>1</v>
      </c>
      <c r="E474">
        <v>1</v>
      </c>
      <c r="F474">
        <v>1</v>
      </c>
      <c r="G474">
        <v>0</v>
      </c>
      <c r="H474">
        <f t="shared" si="7"/>
        <v>3</v>
      </c>
    </row>
    <row r="475" spans="1:8">
      <c r="A475">
        <v>3545</v>
      </c>
      <c r="C475">
        <v>1</v>
      </c>
      <c r="D475">
        <v>1</v>
      </c>
      <c r="E475">
        <v>0</v>
      </c>
      <c r="F475">
        <v>1</v>
      </c>
      <c r="G475">
        <v>0</v>
      </c>
      <c r="H475">
        <f t="shared" si="7"/>
        <v>3</v>
      </c>
    </row>
    <row r="476" spans="1:8">
      <c r="A476">
        <v>3546</v>
      </c>
      <c r="C476">
        <v>0</v>
      </c>
      <c r="D476">
        <v>1</v>
      </c>
      <c r="E476">
        <v>2</v>
      </c>
      <c r="F476">
        <v>0</v>
      </c>
      <c r="G476">
        <v>0</v>
      </c>
      <c r="H476">
        <f t="shared" si="7"/>
        <v>3</v>
      </c>
    </row>
    <row r="477" spans="1:8">
      <c r="A477">
        <v>3552</v>
      </c>
      <c r="C477">
        <v>1</v>
      </c>
      <c r="D477">
        <v>1</v>
      </c>
      <c r="E477">
        <v>0</v>
      </c>
      <c r="F477">
        <v>1</v>
      </c>
      <c r="G477">
        <v>0</v>
      </c>
      <c r="H477">
        <f t="shared" si="7"/>
        <v>3</v>
      </c>
    </row>
    <row r="478" spans="1:8">
      <c r="A478">
        <v>3559</v>
      </c>
      <c r="C478">
        <v>0</v>
      </c>
      <c r="D478">
        <v>1</v>
      </c>
      <c r="E478">
        <v>1</v>
      </c>
      <c r="F478">
        <v>1</v>
      </c>
      <c r="G478">
        <v>0</v>
      </c>
      <c r="H478">
        <f t="shared" si="7"/>
        <v>3</v>
      </c>
    </row>
    <row r="479" spans="1:8">
      <c r="A479">
        <v>3564</v>
      </c>
      <c r="C479">
        <v>0</v>
      </c>
      <c r="D479">
        <v>1</v>
      </c>
      <c r="E479">
        <v>0</v>
      </c>
      <c r="F479">
        <v>1</v>
      </c>
      <c r="G479">
        <v>1</v>
      </c>
      <c r="H479">
        <f t="shared" si="7"/>
        <v>3</v>
      </c>
    </row>
    <row r="480" spans="1:8">
      <c r="A480">
        <v>3567</v>
      </c>
      <c r="C480">
        <v>0</v>
      </c>
      <c r="D480">
        <v>1</v>
      </c>
      <c r="E480">
        <v>1</v>
      </c>
      <c r="F480">
        <v>1</v>
      </c>
      <c r="G480">
        <v>0</v>
      </c>
      <c r="H480">
        <f t="shared" si="7"/>
        <v>3</v>
      </c>
    </row>
    <row r="481" spans="1:8">
      <c r="A481">
        <v>3579</v>
      </c>
      <c r="C481">
        <v>0</v>
      </c>
      <c r="D481">
        <v>1</v>
      </c>
      <c r="E481">
        <v>2</v>
      </c>
      <c r="F481">
        <v>0</v>
      </c>
      <c r="G481">
        <v>0</v>
      </c>
      <c r="H481">
        <f t="shared" si="7"/>
        <v>3</v>
      </c>
    </row>
    <row r="482" spans="1:8">
      <c r="A482">
        <v>3581</v>
      </c>
      <c r="C482">
        <v>0</v>
      </c>
      <c r="D482">
        <v>1</v>
      </c>
      <c r="E482">
        <v>0</v>
      </c>
      <c r="F482">
        <v>1</v>
      </c>
      <c r="G482">
        <v>1</v>
      </c>
      <c r="H482">
        <f t="shared" si="7"/>
        <v>3</v>
      </c>
    </row>
    <row r="483" spans="1:8">
      <c r="A483">
        <v>3583</v>
      </c>
      <c r="C483">
        <v>0</v>
      </c>
      <c r="D483">
        <v>1</v>
      </c>
      <c r="E483">
        <v>1</v>
      </c>
      <c r="F483">
        <v>1</v>
      </c>
      <c r="G483">
        <v>0</v>
      </c>
      <c r="H483">
        <f t="shared" si="7"/>
        <v>3</v>
      </c>
    </row>
    <row r="484" spans="1:8">
      <c r="A484">
        <v>3588</v>
      </c>
      <c r="C484">
        <v>1</v>
      </c>
      <c r="D484">
        <v>1</v>
      </c>
      <c r="E484">
        <v>1</v>
      </c>
      <c r="F484">
        <v>0</v>
      </c>
      <c r="G484">
        <v>0</v>
      </c>
      <c r="H484">
        <f t="shared" si="7"/>
        <v>3</v>
      </c>
    </row>
    <row r="485" spans="1:8">
      <c r="A485">
        <v>3593</v>
      </c>
      <c r="C485">
        <v>0</v>
      </c>
      <c r="D485">
        <v>1</v>
      </c>
      <c r="E485">
        <v>1</v>
      </c>
      <c r="F485">
        <v>0</v>
      </c>
      <c r="G485">
        <v>1</v>
      </c>
      <c r="H485">
        <f t="shared" si="7"/>
        <v>3</v>
      </c>
    </row>
    <row r="486" spans="1:8">
      <c r="A486">
        <v>3596</v>
      </c>
      <c r="C486">
        <v>1</v>
      </c>
      <c r="D486">
        <v>1</v>
      </c>
      <c r="E486">
        <v>1</v>
      </c>
      <c r="F486">
        <v>0</v>
      </c>
      <c r="G486">
        <v>0</v>
      </c>
      <c r="H486">
        <f t="shared" si="7"/>
        <v>3</v>
      </c>
    </row>
    <row r="487" spans="1:8">
      <c r="A487">
        <v>3609</v>
      </c>
      <c r="C487">
        <v>0</v>
      </c>
      <c r="D487">
        <v>1</v>
      </c>
      <c r="E487">
        <v>2</v>
      </c>
      <c r="F487">
        <v>0</v>
      </c>
      <c r="G487">
        <v>0</v>
      </c>
      <c r="H487">
        <f t="shared" si="7"/>
        <v>3</v>
      </c>
    </row>
    <row r="488" spans="1:8">
      <c r="A488">
        <v>3611</v>
      </c>
      <c r="C488">
        <v>1</v>
      </c>
      <c r="D488">
        <v>1</v>
      </c>
      <c r="E488">
        <v>0</v>
      </c>
      <c r="F488">
        <v>1</v>
      </c>
      <c r="G488">
        <v>0</v>
      </c>
      <c r="H488">
        <f t="shared" si="7"/>
        <v>3</v>
      </c>
    </row>
    <row r="489" spans="1:8">
      <c r="A489">
        <v>3617</v>
      </c>
      <c r="C489">
        <v>1</v>
      </c>
      <c r="D489">
        <v>1</v>
      </c>
      <c r="E489">
        <v>0</v>
      </c>
      <c r="F489">
        <v>1</v>
      </c>
      <c r="G489">
        <v>0</v>
      </c>
      <c r="H489">
        <f t="shared" si="7"/>
        <v>3</v>
      </c>
    </row>
    <row r="490" spans="1:8">
      <c r="A490">
        <v>3623</v>
      </c>
      <c r="C490">
        <v>0</v>
      </c>
      <c r="D490">
        <v>1</v>
      </c>
      <c r="E490">
        <v>1</v>
      </c>
      <c r="F490">
        <v>1</v>
      </c>
      <c r="G490">
        <v>0</v>
      </c>
      <c r="H490">
        <f t="shared" si="7"/>
        <v>3</v>
      </c>
    </row>
    <row r="491" spans="1:8">
      <c r="A491">
        <v>3624</v>
      </c>
      <c r="C491">
        <v>1</v>
      </c>
      <c r="D491">
        <v>1</v>
      </c>
      <c r="E491">
        <v>0</v>
      </c>
      <c r="F491">
        <v>1</v>
      </c>
      <c r="G491">
        <v>0</v>
      </c>
      <c r="H491">
        <f t="shared" si="7"/>
        <v>3</v>
      </c>
    </row>
    <row r="492" spans="1:8">
      <c r="A492">
        <v>3646</v>
      </c>
      <c r="C492">
        <v>1</v>
      </c>
      <c r="D492">
        <v>1</v>
      </c>
      <c r="E492">
        <v>0</v>
      </c>
      <c r="F492">
        <v>1</v>
      </c>
      <c r="G492">
        <v>0</v>
      </c>
      <c r="H492">
        <f t="shared" si="7"/>
        <v>3</v>
      </c>
    </row>
    <row r="493" spans="1:8">
      <c r="A493">
        <v>3653</v>
      </c>
      <c r="C493">
        <v>1</v>
      </c>
      <c r="D493">
        <v>1</v>
      </c>
      <c r="E493">
        <v>0</v>
      </c>
      <c r="F493">
        <v>1</v>
      </c>
      <c r="G493">
        <v>0</v>
      </c>
      <c r="H493">
        <f t="shared" si="7"/>
        <v>3</v>
      </c>
    </row>
    <row r="494" spans="1:8">
      <c r="A494">
        <v>3665</v>
      </c>
      <c r="C494">
        <v>1</v>
      </c>
      <c r="D494">
        <v>1</v>
      </c>
      <c r="E494">
        <v>0</v>
      </c>
      <c r="F494">
        <v>1</v>
      </c>
      <c r="G494">
        <v>0</v>
      </c>
      <c r="H494">
        <f t="shared" si="7"/>
        <v>3</v>
      </c>
    </row>
    <row r="495" spans="1:8">
      <c r="A495">
        <v>3672</v>
      </c>
      <c r="C495">
        <v>0</v>
      </c>
      <c r="D495">
        <v>1</v>
      </c>
      <c r="E495">
        <v>1</v>
      </c>
      <c r="F495">
        <v>0</v>
      </c>
      <c r="G495">
        <v>1</v>
      </c>
      <c r="H495">
        <f t="shared" si="7"/>
        <v>3</v>
      </c>
    </row>
    <row r="496" spans="1:8">
      <c r="A496">
        <v>3673</v>
      </c>
      <c r="C496">
        <v>0</v>
      </c>
      <c r="D496">
        <v>0</v>
      </c>
      <c r="E496">
        <v>2</v>
      </c>
      <c r="F496">
        <v>1</v>
      </c>
      <c r="G496">
        <v>0</v>
      </c>
      <c r="H496">
        <f t="shared" si="7"/>
        <v>3</v>
      </c>
    </row>
    <row r="497" spans="1:8">
      <c r="A497">
        <v>3679</v>
      </c>
      <c r="C497">
        <v>1</v>
      </c>
      <c r="D497">
        <v>1</v>
      </c>
      <c r="E497">
        <v>0</v>
      </c>
      <c r="F497">
        <v>0</v>
      </c>
      <c r="G497">
        <v>1</v>
      </c>
      <c r="H497">
        <f t="shared" si="7"/>
        <v>3</v>
      </c>
    </row>
    <row r="498" spans="1:8">
      <c r="A498">
        <v>3680</v>
      </c>
      <c r="C498">
        <v>1</v>
      </c>
      <c r="D498">
        <v>1</v>
      </c>
      <c r="E498">
        <v>0</v>
      </c>
      <c r="F498">
        <v>1</v>
      </c>
      <c r="G498">
        <v>0</v>
      </c>
      <c r="H498">
        <f t="shared" si="7"/>
        <v>3</v>
      </c>
    </row>
    <row r="499" spans="1:8">
      <c r="A499">
        <v>3684</v>
      </c>
      <c r="C499">
        <v>1</v>
      </c>
      <c r="D499">
        <v>1</v>
      </c>
      <c r="E499">
        <v>0</v>
      </c>
      <c r="F499">
        <v>1</v>
      </c>
      <c r="G499">
        <v>0</v>
      </c>
      <c r="H499">
        <f t="shared" si="7"/>
        <v>3</v>
      </c>
    </row>
    <row r="500" spans="1:8">
      <c r="A500">
        <v>3687</v>
      </c>
      <c r="C500">
        <v>0</v>
      </c>
      <c r="D500">
        <v>1</v>
      </c>
      <c r="E500">
        <v>2</v>
      </c>
      <c r="F500">
        <v>0</v>
      </c>
      <c r="G500">
        <v>0</v>
      </c>
      <c r="H500">
        <f t="shared" si="7"/>
        <v>3</v>
      </c>
    </row>
    <row r="501" spans="1:8">
      <c r="A501">
        <v>3691</v>
      </c>
      <c r="C501">
        <v>1</v>
      </c>
      <c r="D501">
        <v>1</v>
      </c>
      <c r="E501">
        <v>0</v>
      </c>
      <c r="F501">
        <v>1</v>
      </c>
      <c r="G501">
        <v>0</v>
      </c>
      <c r="H501">
        <f t="shared" si="7"/>
        <v>3</v>
      </c>
    </row>
    <row r="502" spans="1:8">
      <c r="A502">
        <v>3704</v>
      </c>
      <c r="C502">
        <v>1</v>
      </c>
      <c r="D502">
        <v>1</v>
      </c>
      <c r="E502">
        <v>0</v>
      </c>
      <c r="F502">
        <v>1</v>
      </c>
      <c r="G502">
        <v>0</v>
      </c>
      <c r="H502">
        <f t="shared" si="7"/>
        <v>3</v>
      </c>
    </row>
    <row r="503" spans="1:8">
      <c r="A503">
        <v>3706</v>
      </c>
      <c r="C503">
        <v>0</v>
      </c>
      <c r="D503">
        <v>1</v>
      </c>
      <c r="E503">
        <v>0</v>
      </c>
      <c r="F503">
        <v>1</v>
      </c>
      <c r="G503">
        <v>1</v>
      </c>
      <c r="H503">
        <f t="shared" si="7"/>
        <v>3</v>
      </c>
    </row>
    <row r="504" spans="1:8">
      <c r="A504">
        <v>4102</v>
      </c>
      <c r="C504">
        <v>1</v>
      </c>
      <c r="D504">
        <v>1</v>
      </c>
      <c r="E504">
        <v>0</v>
      </c>
      <c r="F504">
        <v>0</v>
      </c>
      <c r="G504">
        <v>1</v>
      </c>
      <c r="H504">
        <f t="shared" si="7"/>
        <v>3</v>
      </c>
    </row>
    <row r="505" spans="1:8">
      <c r="A505">
        <v>4103</v>
      </c>
      <c r="C505">
        <v>1</v>
      </c>
      <c r="D505">
        <v>1</v>
      </c>
      <c r="E505">
        <v>1</v>
      </c>
      <c r="F505">
        <v>0</v>
      </c>
      <c r="G505">
        <v>0</v>
      </c>
      <c r="H505">
        <f t="shared" si="7"/>
        <v>3</v>
      </c>
    </row>
    <row r="506" spans="1:8">
      <c r="A506">
        <v>4104</v>
      </c>
      <c r="C506">
        <v>0</v>
      </c>
      <c r="D506">
        <v>1</v>
      </c>
      <c r="E506">
        <v>2</v>
      </c>
      <c r="F506">
        <v>0</v>
      </c>
      <c r="G506">
        <v>0</v>
      </c>
      <c r="H506">
        <f t="shared" si="7"/>
        <v>3</v>
      </c>
    </row>
    <row r="507" spans="1:8">
      <c r="A507">
        <v>4105</v>
      </c>
      <c r="C507">
        <v>0</v>
      </c>
      <c r="D507">
        <v>1</v>
      </c>
      <c r="E507">
        <v>1</v>
      </c>
      <c r="F507">
        <v>1</v>
      </c>
      <c r="G507">
        <v>0</v>
      </c>
      <c r="H507">
        <f t="shared" si="7"/>
        <v>3</v>
      </c>
    </row>
    <row r="508" spans="1:8">
      <c r="A508">
        <v>4107</v>
      </c>
      <c r="C508">
        <v>1</v>
      </c>
      <c r="D508">
        <v>1</v>
      </c>
      <c r="E508">
        <v>0</v>
      </c>
      <c r="F508">
        <v>1</v>
      </c>
      <c r="G508">
        <v>0</v>
      </c>
      <c r="H508">
        <f t="shared" si="7"/>
        <v>3</v>
      </c>
    </row>
    <row r="509" spans="1:8">
      <c r="A509">
        <v>4111</v>
      </c>
      <c r="C509">
        <v>0</v>
      </c>
      <c r="D509">
        <v>1</v>
      </c>
      <c r="E509">
        <v>1</v>
      </c>
      <c r="F509">
        <v>1</v>
      </c>
      <c r="G509">
        <v>0</v>
      </c>
      <c r="H509">
        <f t="shared" si="7"/>
        <v>3</v>
      </c>
    </row>
    <row r="510" spans="1:8">
      <c r="A510">
        <v>4114</v>
      </c>
      <c r="C510">
        <v>0</v>
      </c>
      <c r="D510">
        <v>1</v>
      </c>
      <c r="E510">
        <v>1</v>
      </c>
      <c r="F510">
        <v>1</v>
      </c>
      <c r="G510">
        <v>0</v>
      </c>
      <c r="H510">
        <f t="shared" si="7"/>
        <v>3</v>
      </c>
    </row>
    <row r="511" spans="1:8">
      <c r="A511">
        <v>4121</v>
      </c>
      <c r="C511">
        <v>1</v>
      </c>
      <c r="D511">
        <v>1</v>
      </c>
      <c r="E511">
        <v>1</v>
      </c>
      <c r="F511">
        <v>0</v>
      </c>
      <c r="G511">
        <v>0</v>
      </c>
      <c r="H511">
        <f t="shared" si="7"/>
        <v>3</v>
      </c>
    </row>
    <row r="512" spans="1:8">
      <c r="A512">
        <v>4123</v>
      </c>
      <c r="C512">
        <v>0</v>
      </c>
      <c r="D512">
        <v>1</v>
      </c>
      <c r="E512">
        <v>2</v>
      </c>
      <c r="F512">
        <v>0</v>
      </c>
      <c r="G512">
        <v>0</v>
      </c>
      <c r="H512">
        <f t="shared" si="7"/>
        <v>3</v>
      </c>
    </row>
    <row r="513" spans="1:8">
      <c r="A513">
        <v>4129</v>
      </c>
      <c r="C513">
        <v>0</v>
      </c>
      <c r="D513">
        <v>1</v>
      </c>
      <c r="E513">
        <v>0</v>
      </c>
      <c r="F513">
        <v>1</v>
      </c>
      <c r="G513">
        <v>1</v>
      </c>
      <c r="H513">
        <f t="shared" si="7"/>
        <v>3</v>
      </c>
    </row>
    <row r="514" spans="1:8">
      <c r="A514">
        <v>4130</v>
      </c>
      <c r="C514">
        <v>0</v>
      </c>
      <c r="D514">
        <v>1</v>
      </c>
      <c r="E514">
        <v>1</v>
      </c>
      <c r="F514">
        <v>1</v>
      </c>
      <c r="G514">
        <v>0</v>
      </c>
      <c r="H514">
        <f t="shared" ref="H514:H577" si="8">SUM(C514:G514)</f>
        <v>3</v>
      </c>
    </row>
    <row r="515" spans="1:8">
      <c r="A515">
        <v>4138</v>
      </c>
      <c r="C515">
        <v>0</v>
      </c>
      <c r="D515">
        <v>1</v>
      </c>
      <c r="E515">
        <v>2</v>
      </c>
      <c r="F515">
        <v>0</v>
      </c>
      <c r="G515">
        <v>0</v>
      </c>
      <c r="H515">
        <f t="shared" si="8"/>
        <v>3</v>
      </c>
    </row>
    <row r="516" spans="1:8">
      <c r="A516">
        <v>4144</v>
      </c>
      <c r="C516">
        <v>0</v>
      </c>
      <c r="D516">
        <v>0</v>
      </c>
      <c r="E516">
        <v>2</v>
      </c>
      <c r="F516">
        <v>1</v>
      </c>
      <c r="G516">
        <v>0</v>
      </c>
      <c r="H516">
        <f t="shared" si="8"/>
        <v>3</v>
      </c>
    </row>
    <row r="517" spans="1:8">
      <c r="A517">
        <v>4153</v>
      </c>
      <c r="C517">
        <v>1</v>
      </c>
      <c r="D517">
        <v>1</v>
      </c>
      <c r="E517">
        <v>0</v>
      </c>
      <c r="F517">
        <v>1</v>
      </c>
      <c r="G517">
        <v>0</v>
      </c>
      <c r="H517">
        <f t="shared" si="8"/>
        <v>3</v>
      </c>
    </row>
    <row r="518" spans="1:8">
      <c r="A518">
        <v>4157</v>
      </c>
      <c r="C518">
        <v>0</v>
      </c>
      <c r="D518">
        <v>1</v>
      </c>
      <c r="E518">
        <v>2</v>
      </c>
      <c r="F518">
        <v>0</v>
      </c>
      <c r="G518">
        <v>0</v>
      </c>
      <c r="H518">
        <f t="shared" si="8"/>
        <v>3</v>
      </c>
    </row>
    <row r="519" spans="1:8">
      <c r="A519">
        <v>4163</v>
      </c>
      <c r="C519">
        <v>1</v>
      </c>
      <c r="D519">
        <v>1</v>
      </c>
      <c r="E519">
        <v>0</v>
      </c>
      <c r="F519">
        <v>1</v>
      </c>
      <c r="G519">
        <v>0</v>
      </c>
      <c r="H519">
        <f t="shared" si="8"/>
        <v>3</v>
      </c>
    </row>
    <row r="520" spans="1:8">
      <c r="A520">
        <v>4417</v>
      </c>
      <c r="C520">
        <v>0</v>
      </c>
      <c r="D520">
        <v>1</v>
      </c>
      <c r="E520">
        <v>1</v>
      </c>
      <c r="F520">
        <v>1</v>
      </c>
      <c r="G520">
        <v>0</v>
      </c>
      <c r="H520">
        <f t="shared" si="8"/>
        <v>3</v>
      </c>
    </row>
    <row r="521" spans="1:8">
      <c r="A521">
        <v>4429</v>
      </c>
      <c r="C521">
        <v>1</v>
      </c>
      <c r="D521">
        <v>1</v>
      </c>
      <c r="E521">
        <v>0</v>
      </c>
      <c r="F521">
        <v>1</v>
      </c>
      <c r="G521">
        <v>0</v>
      </c>
      <c r="H521">
        <f t="shared" si="8"/>
        <v>3</v>
      </c>
    </row>
    <row r="522" spans="1:8">
      <c r="A522">
        <v>4432</v>
      </c>
      <c r="C522">
        <v>1</v>
      </c>
      <c r="D522">
        <v>1</v>
      </c>
      <c r="E522">
        <v>0</v>
      </c>
      <c r="F522">
        <v>1</v>
      </c>
      <c r="G522">
        <v>0</v>
      </c>
      <c r="H522">
        <f t="shared" si="8"/>
        <v>3</v>
      </c>
    </row>
    <row r="523" spans="1:8">
      <c r="A523">
        <v>4502</v>
      </c>
      <c r="C523">
        <v>0</v>
      </c>
      <c r="D523">
        <v>1</v>
      </c>
      <c r="E523">
        <v>2</v>
      </c>
      <c r="F523">
        <v>0</v>
      </c>
      <c r="G523">
        <v>0</v>
      </c>
      <c r="H523">
        <f t="shared" si="8"/>
        <v>3</v>
      </c>
    </row>
    <row r="524" spans="1:8">
      <c r="A524">
        <v>4503</v>
      </c>
      <c r="C524">
        <v>1</v>
      </c>
      <c r="D524">
        <v>1</v>
      </c>
      <c r="E524">
        <v>0</v>
      </c>
      <c r="F524">
        <v>1</v>
      </c>
      <c r="G524">
        <v>0</v>
      </c>
      <c r="H524">
        <f t="shared" si="8"/>
        <v>3</v>
      </c>
    </row>
    <row r="525" spans="1:8">
      <c r="A525">
        <v>4513</v>
      </c>
      <c r="C525">
        <v>1</v>
      </c>
      <c r="D525">
        <v>1</v>
      </c>
      <c r="E525">
        <v>0</v>
      </c>
      <c r="F525">
        <v>1</v>
      </c>
      <c r="G525">
        <v>0</v>
      </c>
      <c r="H525">
        <f t="shared" si="8"/>
        <v>3</v>
      </c>
    </row>
    <row r="526" spans="1:8">
      <c r="A526">
        <v>4530</v>
      </c>
      <c r="C526">
        <v>0</v>
      </c>
      <c r="D526">
        <v>1</v>
      </c>
      <c r="E526">
        <v>1</v>
      </c>
      <c r="F526">
        <v>1</v>
      </c>
      <c r="G526">
        <v>0</v>
      </c>
      <c r="H526">
        <f t="shared" si="8"/>
        <v>3</v>
      </c>
    </row>
    <row r="527" spans="1:8">
      <c r="A527">
        <v>4711</v>
      </c>
      <c r="C527">
        <v>1</v>
      </c>
      <c r="D527">
        <v>1</v>
      </c>
      <c r="E527">
        <v>0</v>
      </c>
      <c r="F527">
        <v>1</v>
      </c>
      <c r="G527">
        <v>0</v>
      </c>
      <c r="H527">
        <f t="shared" si="8"/>
        <v>3</v>
      </c>
    </row>
    <row r="528" spans="1:8">
      <c r="A528">
        <v>4720</v>
      </c>
      <c r="C528">
        <v>1</v>
      </c>
      <c r="D528">
        <v>1</v>
      </c>
      <c r="E528">
        <v>1</v>
      </c>
      <c r="F528">
        <v>0</v>
      </c>
      <c r="G528">
        <v>0</v>
      </c>
      <c r="H528">
        <f t="shared" si="8"/>
        <v>3</v>
      </c>
    </row>
    <row r="529" spans="1:8">
      <c r="A529">
        <v>4721</v>
      </c>
      <c r="C529">
        <v>1</v>
      </c>
      <c r="D529">
        <v>1</v>
      </c>
      <c r="E529">
        <v>0</v>
      </c>
      <c r="F529">
        <v>1</v>
      </c>
      <c r="G529">
        <v>0</v>
      </c>
      <c r="H529">
        <f t="shared" si="8"/>
        <v>3</v>
      </c>
    </row>
    <row r="530" spans="1:8">
      <c r="A530">
        <v>4722</v>
      </c>
      <c r="C530">
        <v>1</v>
      </c>
      <c r="D530">
        <v>1</v>
      </c>
      <c r="E530">
        <v>0</v>
      </c>
      <c r="F530">
        <v>1</v>
      </c>
      <c r="G530">
        <v>0</v>
      </c>
      <c r="H530">
        <f t="shared" si="8"/>
        <v>3</v>
      </c>
    </row>
    <row r="531" spans="1:8">
      <c r="A531">
        <v>4726</v>
      </c>
      <c r="C531">
        <v>0</v>
      </c>
      <c r="D531">
        <v>1</v>
      </c>
      <c r="E531">
        <v>2</v>
      </c>
      <c r="F531">
        <v>0</v>
      </c>
      <c r="G531">
        <v>0</v>
      </c>
      <c r="H531">
        <f t="shared" si="8"/>
        <v>3</v>
      </c>
    </row>
    <row r="532" spans="1:8">
      <c r="A532">
        <v>4735</v>
      </c>
      <c r="C532">
        <v>1</v>
      </c>
      <c r="D532">
        <v>1</v>
      </c>
      <c r="E532">
        <v>0</v>
      </c>
      <c r="F532">
        <v>1</v>
      </c>
      <c r="G532">
        <v>0</v>
      </c>
      <c r="H532">
        <f t="shared" si="8"/>
        <v>3</v>
      </c>
    </row>
    <row r="533" spans="1:8">
      <c r="A533">
        <v>4737</v>
      </c>
      <c r="C533">
        <v>0</v>
      </c>
      <c r="D533">
        <v>1</v>
      </c>
      <c r="E533">
        <v>1</v>
      </c>
      <c r="F533">
        <v>1</v>
      </c>
      <c r="G533">
        <v>0</v>
      </c>
      <c r="H533">
        <f t="shared" si="8"/>
        <v>3</v>
      </c>
    </row>
    <row r="534" spans="1:8">
      <c r="A534">
        <v>4755</v>
      </c>
      <c r="C534">
        <v>1</v>
      </c>
      <c r="D534">
        <v>1</v>
      </c>
      <c r="E534">
        <v>0</v>
      </c>
      <c r="F534">
        <v>1</v>
      </c>
      <c r="G534">
        <v>0</v>
      </c>
      <c r="H534">
        <f t="shared" si="8"/>
        <v>3</v>
      </c>
    </row>
    <row r="535" spans="1:8">
      <c r="A535">
        <v>4904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4908</v>
      </c>
      <c r="C536">
        <v>0</v>
      </c>
      <c r="D536">
        <v>1</v>
      </c>
      <c r="E536">
        <v>1</v>
      </c>
      <c r="F536">
        <v>1</v>
      </c>
      <c r="G536">
        <v>0</v>
      </c>
      <c r="H536">
        <f t="shared" si="8"/>
        <v>3</v>
      </c>
    </row>
    <row r="537" spans="1:8">
      <c r="A537">
        <v>4909</v>
      </c>
      <c r="C537">
        <v>1</v>
      </c>
      <c r="D537">
        <v>1</v>
      </c>
      <c r="E537">
        <v>0</v>
      </c>
      <c r="F537">
        <v>1</v>
      </c>
      <c r="G537">
        <v>0</v>
      </c>
      <c r="H537">
        <f t="shared" si="8"/>
        <v>3</v>
      </c>
    </row>
    <row r="538" spans="1:8">
      <c r="A538">
        <v>4927</v>
      </c>
      <c r="C538">
        <v>1</v>
      </c>
      <c r="D538">
        <v>1</v>
      </c>
      <c r="E538">
        <v>0</v>
      </c>
      <c r="F538">
        <v>0</v>
      </c>
      <c r="G538">
        <v>1</v>
      </c>
      <c r="H538">
        <f t="shared" si="8"/>
        <v>3</v>
      </c>
    </row>
    <row r="539" spans="1:8">
      <c r="A539">
        <v>4930</v>
      </c>
      <c r="C539">
        <v>0</v>
      </c>
      <c r="D539">
        <v>1</v>
      </c>
      <c r="E539">
        <v>1</v>
      </c>
      <c r="F539">
        <v>0</v>
      </c>
      <c r="G539">
        <v>1</v>
      </c>
      <c r="H539">
        <f t="shared" si="8"/>
        <v>3</v>
      </c>
    </row>
    <row r="540" spans="1:8">
      <c r="A540">
        <v>4933</v>
      </c>
      <c r="C540">
        <v>1</v>
      </c>
      <c r="D540">
        <v>1</v>
      </c>
      <c r="E540">
        <v>0</v>
      </c>
      <c r="F540">
        <v>1</v>
      </c>
      <c r="G540">
        <v>0</v>
      </c>
      <c r="H540">
        <f t="shared" si="8"/>
        <v>3</v>
      </c>
    </row>
    <row r="541" spans="1:8">
      <c r="A541">
        <v>4952</v>
      </c>
      <c r="C541">
        <v>1</v>
      </c>
      <c r="D541">
        <v>1</v>
      </c>
      <c r="E541">
        <v>0</v>
      </c>
      <c r="F541">
        <v>1</v>
      </c>
      <c r="G541">
        <v>0</v>
      </c>
      <c r="H541">
        <f t="shared" si="8"/>
        <v>3</v>
      </c>
    </row>
    <row r="542" spans="1:8">
      <c r="A542">
        <v>4965</v>
      </c>
      <c r="C542">
        <v>0</v>
      </c>
      <c r="D542">
        <v>0</v>
      </c>
      <c r="E542">
        <v>1</v>
      </c>
      <c r="F542">
        <v>1</v>
      </c>
      <c r="G542">
        <v>1</v>
      </c>
      <c r="H542">
        <f t="shared" si="8"/>
        <v>3</v>
      </c>
    </row>
    <row r="543" spans="1:8">
      <c r="A543">
        <v>4972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4979</v>
      </c>
      <c r="C544">
        <v>1</v>
      </c>
      <c r="D544">
        <v>1</v>
      </c>
      <c r="E544">
        <v>0</v>
      </c>
      <c r="F544">
        <v>1</v>
      </c>
      <c r="G544">
        <v>0</v>
      </c>
      <c r="H544">
        <f t="shared" si="8"/>
        <v>3</v>
      </c>
    </row>
    <row r="545" spans="1:8">
      <c r="A545">
        <v>5009</v>
      </c>
      <c r="C545">
        <v>1</v>
      </c>
      <c r="D545">
        <v>1</v>
      </c>
      <c r="E545">
        <v>0</v>
      </c>
      <c r="F545">
        <v>1</v>
      </c>
      <c r="G545">
        <v>0</v>
      </c>
      <c r="H545">
        <f t="shared" si="8"/>
        <v>3</v>
      </c>
    </row>
    <row r="546" spans="1:8">
      <c r="A546">
        <v>5011</v>
      </c>
      <c r="C546">
        <v>0</v>
      </c>
      <c r="D546">
        <v>1</v>
      </c>
      <c r="E546">
        <v>2</v>
      </c>
      <c r="F546">
        <v>0</v>
      </c>
      <c r="G546">
        <v>0</v>
      </c>
      <c r="H546">
        <f t="shared" si="8"/>
        <v>3</v>
      </c>
    </row>
    <row r="547" spans="1:8">
      <c r="A547">
        <v>5014</v>
      </c>
      <c r="C547">
        <v>0</v>
      </c>
      <c r="D547">
        <v>0</v>
      </c>
      <c r="E547">
        <v>2</v>
      </c>
      <c r="F547">
        <v>1</v>
      </c>
      <c r="G547">
        <v>0</v>
      </c>
      <c r="H547">
        <f t="shared" si="8"/>
        <v>3</v>
      </c>
    </row>
    <row r="548" spans="1:8">
      <c r="A548">
        <v>5015</v>
      </c>
      <c r="C548">
        <v>0</v>
      </c>
      <c r="D548">
        <v>1</v>
      </c>
      <c r="E548">
        <v>2</v>
      </c>
      <c r="F548">
        <v>0</v>
      </c>
      <c r="G548">
        <v>0</v>
      </c>
      <c r="H548">
        <f t="shared" si="8"/>
        <v>3</v>
      </c>
    </row>
    <row r="549" spans="1:8">
      <c r="A549">
        <v>5203</v>
      </c>
      <c r="C549">
        <v>0</v>
      </c>
      <c r="D549">
        <v>1</v>
      </c>
      <c r="E549">
        <v>2</v>
      </c>
      <c r="F549">
        <v>0</v>
      </c>
      <c r="G549">
        <v>0</v>
      </c>
      <c r="H549">
        <f t="shared" si="8"/>
        <v>3</v>
      </c>
    </row>
    <row r="550" spans="1:8">
      <c r="A550">
        <v>5209</v>
      </c>
      <c r="C550">
        <v>1</v>
      </c>
      <c r="D550">
        <v>1</v>
      </c>
      <c r="E550">
        <v>1</v>
      </c>
      <c r="F550">
        <v>0</v>
      </c>
      <c r="G550">
        <v>0</v>
      </c>
      <c r="H550">
        <f t="shared" si="8"/>
        <v>3</v>
      </c>
    </row>
    <row r="551" spans="1:8">
      <c r="A551">
        <v>5211</v>
      </c>
      <c r="C551">
        <v>0</v>
      </c>
      <c r="D551">
        <v>1</v>
      </c>
      <c r="E551">
        <v>2</v>
      </c>
      <c r="F551">
        <v>0</v>
      </c>
      <c r="G551">
        <v>0</v>
      </c>
      <c r="H551">
        <f t="shared" si="8"/>
        <v>3</v>
      </c>
    </row>
    <row r="552" spans="1:8">
      <c r="A552">
        <v>5230</v>
      </c>
      <c r="C552">
        <v>0</v>
      </c>
      <c r="D552">
        <v>1</v>
      </c>
      <c r="E552">
        <v>1</v>
      </c>
      <c r="F552">
        <v>1</v>
      </c>
      <c r="G552">
        <v>0</v>
      </c>
      <c r="H552">
        <f t="shared" si="8"/>
        <v>3</v>
      </c>
    </row>
    <row r="553" spans="1:8">
      <c r="A553">
        <v>5234</v>
      </c>
      <c r="C553">
        <v>0</v>
      </c>
      <c r="D553">
        <v>1</v>
      </c>
      <c r="E553">
        <v>1</v>
      </c>
      <c r="F553">
        <v>1</v>
      </c>
      <c r="G553">
        <v>0</v>
      </c>
      <c r="H553">
        <f t="shared" si="8"/>
        <v>3</v>
      </c>
    </row>
    <row r="554" spans="1:8">
      <c r="A554">
        <v>5263</v>
      </c>
      <c r="C554">
        <v>1</v>
      </c>
      <c r="D554">
        <v>1</v>
      </c>
      <c r="E554">
        <v>1</v>
      </c>
      <c r="F554">
        <v>0</v>
      </c>
      <c r="G554">
        <v>0</v>
      </c>
      <c r="H554">
        <f t="shared" si="8"/>
        <v>3</v>
      </c>
    </row>
    <row r="555" spans="1:8">
      <c r="A555">
        <v>5264</v>
      </c>
      <c r="C555">
        <v>1</v>
      </c>
      <c r="D555">
        <v>1</v>
      </c>
      <c r="E555">
        <v>0</v>
      </c>
      <c r="F555">
        <v>1</v>
      </c>
      <c r="G555">
        <v>0</v>
      </c>
      <c r="H555">
        <f t="shared" si="8"/>
        <v>3</v>
      </c>
    </row>
    <row r="556" spans="1:8">
      <c r="A556">
        <v>5266</v>
      </c>
      <c r="C556">
        <v>0</v>
      </c>
      <c r="D556">
        <v>1</v>
      </c>
      <c r="E556">
        <v>1</v>
      </c>
      <c r="F556">
        <v>1</v>
      </c>
      <c r="G556">
        <v>0</v>
      </c>
      <c r="H556">
        <f t="shared" si="8"/>
        <v>3</v>
      </c>
    </row>
    <row r="557" spans="1:8">
      <c r="A557">
        <v>5315</v>
      </c>
      <c r="C557">
        <v>1</v>
      </c>
      <c r="D557">
        <v>1</v>
      </c>
      <c r="E557">
        <v>0</v>
      </c>
      <c r="F557">
        <v>1</v>
      </c>
      <c r="G557">
        <v>0</v>
      </c>
      <c r="H557">
        <f t="shared" si="8"/>
        <v>3</v>
      </c>
    </row>
    <row r="558" spans="1:8">
      <c r="A558">
        <v>5328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5345</v>
      </c>
      <c r="C559">
        <v>0</v>
      </c>
      <c r="D559">
        <v>1</v>
      </c>
      <c r="E559">
        <v>1</v>
      </c>
      <c r="F559">
        <v>1</v>
      </c>
      <c r="G559">
        <v>0</v>
      </c>
      <c r="H559">
        <f t="shared" si="8"/>
        <v>3</v>
      </c>
    </row>
    <row r="560" spans="1:8">
      <c r="A560">
        <v>5364</v>
      </c>
      <c r="C560">
        <v>0</v>
      </c>
      <c r="D560">
        <v>1</v>
      </c>
      <c r="E560">
        <v>2</v>
      </c>
      <c r="F560">
        <v>0</v>
      </c>
      <c r="G560">
        <v>0</v>
      </c>
      <c r="H560">
        <f t="shared" si="8"/>
        <v>3</v>
      </c>
    </row>
    <row r="561" spans="1:8">
      <c r="A561">
        <v>5425</v>
      </c>
      <c r="C561">
        <v>1</v>
      </c>
      <c r="D561">
        <v>1</v>
      </c>
      <c r="E561">
        <v>0</v>
      </c>
      <c r="F561">
        <v>1</v>
      </c>
      <c r="G561">
        <v>0</v>
      </c>
      <c r="H561">
        <f t="shared" si="8"/>
        <v>3</v>
      </c>
    </row>
    <row r="562" spans="1:8">
      <c r="A562">
        <v>5432</v>
      </c>
      <c r="C562">
        <v>1</v>
      </c>
      <c r="D562">
        <v>1</v>
      </c>
      <c r="E562">
        <v>0</v>
      </c>
      <c r="F562">
        <v>1</v>
      </c>
      <c r="G562">
        <v>0</v>
      </c>
      <c r="H562">
        <f t="shared" si="8"/>
        <v>3</v>
      </c>
    </row>
    <row r="563" spans="1:8">
      <c r="A563">
        <v>5434</v>
      </c>
      <c r="C563">
        <v>1</v>
      </c>
      <c r="D563">
        <v>1</v>
      </c>
      <c r="E563">
        <v>0</v>
      </c>
      <c r="F563">
        <v>1</v>
      </c>
      <c r="G563">
        <v>0</v>
      </c>
      <c r="H563">
        <f t="shared" si="8"/>
        <v>3</v>
      </c>
    </row>
    <row r="564" spans="1:8">
      <c r="A564">
        <v>5439</v>
      </c>
      <c r="C564">
        <v>1</v>
      </c>
      <c r="D564">
        <v>1</v>
      </c>
      <c r="E564">
        <v>0</v>
      </c>
      <c r="F564">
        <v>1</v>
      </c>
      <c r="G564">
        <v>0</v>
      </c>
      <c r="H564">
        <f t="shared" si="8"/>
        <v>3</v>
      </c>
    </row>
    <row r="565" spans="1:8">
      <c r="A565">
        <v>5450</v>
      </c>
      <c r="C565">
        <v>1</v>
      </c>
      <c r="D565">
        <v>1</v>
      </c>
      <c r="E565">
        <v>1</v>
      </c>
      <c r="F565">
        <v>0</v>
      </c>
      <c r="G565">
        <v>0</v>
      </c>
      <c r="H565">
        <f t="shared" si="8"/>
        <v>3</v>
      </c>
    </row>
    <row r="566" spans="1:8">
      <c r="A566">
        <v>5478</v>
      </c>
      <c r="C566">
        <v>0</v>
      </c>
      <c r="D566">
        <v>1</v>
      </c>
      <c r="E566">
        <v>2</v>
      </c>
      <c r="F566">
        <v>0</v>
      </c>
      <c r="G566">
        <v>0</v>
      </c>
      <c r="H566">
        <f t="shared" si="8"/>
        <v>3</v>
      </c>
    </row>
    <row r="567" spans="1:8">
      <c r="A567">
        <v>5480</v>
      </c>
      <c r="C567">
        <v>0</v>
      </c>
      <c r="D567">
        <v>0</v>
      </c>
      <c r="E567">
        <v>2</v>
      </c>
      <c r="F567">
        <v>1</v>
      </c>
      <c r="G567">
        <v>0</v>
      </c>
      <c r="H567">
        <f t="shared" si="8"/>
        <v>3</v>
      </c>
    </row>
    <row r="568" spans="1:8">
      <c r="A568">
        <v>5483</v>
      </c>
      <c r="C568">
        <v>0</v>
      </c>
      <c r="D568">
        <v>1</v>
      </c>
      <c r="E568">
        <v>0</v>
      </c>
      <c r="F568">
        <v>1</v>
      </c>
      <c r="G568">
        <v>1</v>
      </c>
      <c r="H568">
        <f t="shared" si="8"/>
        <v>3</v>
      </c>
    </row>
    <row r="569" spans="1:8">
      <c r="A569">
        <v>5490</v>
      </c>
      <c r="C569">
        <v>0</v>
      </c>
      <c r="D569">
        <v>1</v>
      </c>
      <c r="E569">
        <v>0</v>
      </c>
      <c r="F569">
        <v>1</v>
      </c>
      <c r="G569">
        <v>1</v>
      </c>
      <c r="H569">
        <f t="shared" si="8"/>
        <v>3</v>
      </c>
    </row>
    <row r="570" spans="1:8">
      <c r="A570">
        <v>5520</v>
      </c>
      <c r="C570">
        <v>0</v>
      </c>
      <c r="D570">
        <v>1</v>
      </c>
      <c r="E570">
        <v>1</v>
      </c>
      <c r="F570">
        <v>1</v>
      </c>
      <c r="G570">
        <v>0</v>
      </c>
      <c r="H570">
        <f t="shared" si="8"/>
        <v>3</v>
      </c>
    </row>
    <row r="571" spans="1:8">
      <c r="A571">
        <v>5902</v>
      </c>
      <c r="C571">
        <v>1</v>
      </c>
      <c r="D571">
        <v>1</v>
      </c>
      <c r="E571">
        <v>0</v>
      </c>
      <c r="F571">
        <v>1</v>
      </c>
      <c r="G571">
        <v>0</v>
      </c>
      <c r="H571">
        <f t="shared" si="8"/>
        <v>3</v>
      </c>
    </row>
    <row r="572" spans="1:8">
      <c r="A572">
        <v>5906</v>
      </c>
      <c r="C572">
        <v>0</v>
      </c>
      <c r="D572">
        <v>1</v>
      </c>
      <c r="E572">
        <v>2</v>
      </c>
      <c r="F572">
        <v>0</v>
      </c>
      <c r="G572">
        <v>0</v>
      </c>
      <c r="H572">
        <f t="shared" si="8"/>
        <v>3</v>
      </c>
    </row>
    <row r="573" spans="1:8">
      <c r="A573">
        <v>6117</v>
      </c>
      <c r="C573">
        <v>0</v>
      </c>
      <c r="D573">
        <v>1</v>
      </c>
      <c r="E573">
        <v>1</v>
      </c>
      <c r="F573">
        <v>1</v>
      </c>
      <c r="G573">
        <v>0</v>
      </c>
      <c r="H573">
        <f t="shared" si="8"/>
        <v>3</v>
      </c>
    </row>
    <row r="574" spans="1:8">
      <c r="A574">
        <v>6123</v>
      </c>
      <c r="C574">
        <v>1</v>
      </c>
      <c r="D574">
        <v>1</v>
      </c>
      <c r="E574">
        <v>1</v>
      </c>
      <c r="F574">
        <v>0</v>
      </c>
      <c r="G574">
        <v>0</v>
      </c>
      <c r="H574">
        <f t="shared" si="8"/>
        <v>3</v>
      </c>
    </row>
    <row r="575" spans="1:8">
      <c r="A575">
        <v>6124</v>
      </c>
      <c r="C575">
        <v>0</v>
      </c>
      <c r="D575">
        <v>1</v>
      </c>
      <c r="E575">
        <v>2</v>
      </c>
      <c r="F575">
        <v>0</v>
      </c>
      <c r="G575">
        <v>0</v>
      </c>
      <c r="H575">
        <f t="shared" si="8"/>
        <v>3</v>
      </c>
    </row>
    <row r="576" spans="1:8">
      <c r="A576">
        <v>6128</v>
      </c>
      <c r="C576">
        <v>1</v>
      </c>
      <c r="D576">
        <v>1</v>
      </c>
      <c r="E576">
        <v>0</v>
      </c>
      <c r="F576">
        <v>1</v>
      </c>
      <c r="G576">
        <v>0</v>
      </c>
      <c r="H576">
        <f t="shared" si="8"/>
        <v>3</v>
      </c>
    </row>
    <row r="577" spans="1:8">
      <c r="A577">
        <v>6131</v>
      </c>
      <c r="C577">
        <v>0</v>
      </c>
      <c r="D577">
        <v>1</v>
      </c>
      <c r="E577">
        <v>2</v>
      </c>
      <c r="F577">
        <v>0</v>
      </c>
      <c r="G577">
        <v>0</v>
      </c>
      <c r="H577">
        <f t="shared" si="8"/>
        <v>3</v>
      </c>
    </row>
    <row r="578" spans="1:8">
      <c r="A578">
        <v>6133</v>
      </c>
      <c r="C578">
        <v>1</v>
      </c>
      <c r="D578">
        <v>1</v>
      </c>
      <c r="E578">
        <v>0</v>
      </c>
      <c r="F578">
        <v>1</v>
      </c>
      <c r="G578">
        <v>0</v>
      </c>
      <c r="H578">
        <f t="shared" ref="H578:H641" si="9">SUM(C578:G578)</f>
        <v>3</v>
      </c>
    </row>
    <row r="579" spans="1:8">
      <c r="A579">
        <v>6138</v>
      </c>
      <c r="C579">
        <v>0</v>
      </c>
      <c r="D579">
        <v>1</v>
      </c>
      <c r="E579">
        <v>1</v>
      </c>
      <c r="F579">
        <v>1</v>
      </c>
      <c r="G579">
        <v>0</v>
      </c>
      <c r="H579">
        <f t="shared" si="9"/>
        <v>3</v>
      </c>
    </row>
    <row r="580" spans="1:8">
      <c r="A580">
        <v>6148</v>
      </c>
      <c r="C580">
        <v>0</v>
      </c>
      <c r="D580">
        <v>1</v>
      </c>
      <c r="E580">
        <v>2</v>
      </c>
      <c r="F580">
        <v>0</v>
      </c>
      <c r="G580">
        <v>0</v>
      </c>
      <c r="H580">
        <f t="shared" si="9"/>
        <v>3</v>
      </c>
    </row>
    <row r="581" spans="1:8">
      <c r="A581">
        <v>6152</v>
      </c>
      <c r="C581">
        <v>0</v>
      </c>
      <c r="D581">
        <v>1</v>
      </c>
      <c r="E581">
        <v>1</v>
      </c>
      <c r="F581">
        <v>1</v>
      </c>
      <c r="G581">
        <v>0</v>
      </c>
      <c r="H581">
        <f t="shared" si="9"/>
        <v>3</v>
      </c>
    </row>
    <row r="582" spans="1:8">
      <c r="A582">
        <v>6153</v>
      </c>
      <c r="C582">
        <v>1</v>
      </c>
      <c r="D582">
        <v>1</v>
      </c>
      <c r="E582">
        <v>0</v>
      </c>
      <c r="F582">
        <v>1</v>
      </c>
      <c r="G582">
        <v>0</v>
      </c>
      <c r="H582">
        <f t="shared" si="9"/>
        <v>3</v>
      </c>
    </row>
    <row r="583" spans="1:8">
      <c r="A583">
        <v>6160</v>
      </c>
      <c r="C583">
        <v>0</v>
      </c>
      <c r="D583">
        <v>1</v>
      </c>
      <c r="E583">
        <v>1</v>
      </c>
      <c r="F583">
        <v>1</v>
      </c>
      <c r="G583">
        <v>0</v>
      </c>
      <c r="H583">
        <f t="shared" si="9"/>
        <v>3</v>
      </c>
    </row>
    <row r="584" spans="1:8">
      <c r="A584">
        <v>6172</v>
      </c>
      <c r="C584">
        <v>0</v>
      </c>
      <c r="D584">
        <v>1</v>
      </c>
      <c r="E584">
        <v>1</v>
      </c>
      <c r="F584">
        <v>1</v>
      </c>
      <c r="G584">
        <v>0</v>
      </c>
      <c r="H584">
        <f t="shared" si="9"/>
        <v>3</v>
      </c>
    </row>
    <row r="585" spans="1:8">
      <c r="A585">
        <v>6176</v>
      </c>
      <c r="C585">
        <v>0</v>
      </c>
      <c r="D585">
        <v>1</v>
      </c>
      <c r="E585">
        <v>2</v>
      </c>
      <c r="F585">
        <v>0</v>
      </c>
      <c r="G585">
        <v>0</v>
      </c>
      <c r="H585">
        <f t="shared" si="9"/>
        <v>3</v>
      </c>
    </row>
    <row r="586" spans="1:8">
      <c r="A586">
        <v>6182</v>
      </c>
      <c r="C586">
        <v>0</v>
      </c>
      <c r="D586">
        <v>1</v>
      </c>
      <c r="E586">
        <v>1</v>
      </c>
      <c r="F586">
        <v>1</v>
      </c>
      <c r="G586">
        <v>0</v>
      </c>
      <c r="H586">
        <f t="shared" si="9"/>
        <v>3</v>
      </c>
    </row>
    <row r="587" spans="1:8">
      <c r="A587">
        <v>6185</v>
      </c>
      <c r="C587">
        <v>0</v>
      </c>
      <c r="D587">
        <v>1</v>
      </c>
      <c r="E587">
        <v>1</v>
      </c>
      <c r="F587">
        <v>1</v>
      </c>
      <c r="G587">
        <v>0</v>
      </c>
      <c r="H587">
        <f t="shared" si="9"/>
        <v>3</v>
      </c>
    </row>
    <row r="588" spans="1:8">
      <c r="A588">
        <v>6192</v>
      </c>
      <c r="C588">
        <v>0</v>
      </c>
      <c r="D588">
        <v>1</v>
      </c>
      <c r="E588">
        <v>1</v>
      </c>
      <c r="F588">
        <v>1</v>
      </c>
      <c r="G588">
        <v>0</v>
      </c>
      <c r="H588">
        <f t="shared" si="9"/>
        <v>3</v>
      </c>
    </row>
    <row r="589" spans="1:8">
      <c r="A589">
        <v>6194</v>
      </c>
      <c r="C589">
        <v>0</v>
      </c>
      <c r="D589">
        <v>1</v>
      </c>
      <c r="E589">
        <v>2</v>
      </c>
      <c r="F589">
        <v>0</v>
      </c>
      <c r="G589">
        <v>0</v>
      </c>
      <c r="H589">
        <f t="shared" si="9"/>
        <v>3</v>
      </c>
    </row>
    <row r="590" spans="1:8">
      <c r="A590">
        <v>6196</v>
      </c>
      <c r="C590">
        <v>1</v>
      </c>
      <c r="D590">
        <v>1</v>
      </c>
      <c r="E590">
        <v>0</v>
      </c>
      <c r="F590">
        <v>1</v>
      </c>
      <c r="G590">
        <v>0</v>
      </c>
      <c r="H590">
        <f t="shared" si="9"/>
        <v>3</v>
      </c>
    </row>
    <row r="591" spans="1:8">
      <c r="A591">
        <v>6198</v>
      </c>
      <c r="C591">
        <v>1</v>
      </c>
      <c r="D591">
        <v>0</v>
      </c>
      <c r="E591">
        <v>1</v>
      </c>
      <c r="F591">
        <v>0</v>
      </c>
      <c r="G591">
        <v>1</v>
      </c>
      <c r="H591">
        <f t="shared" si="9"/>
        <v>3</v>
      </c>
    </row>
    <row r="592" spans="1:8">
      <c r="A592">
        <v>6201</v>
      </c>
      <c r="C592">
        <v>1</v>
      </c>
      <c r="D592">
        <v>1</v>
      </c>
      <c r="E592">
        <v>0</v>
      </c>
      <c r="F592">
        <v>1</v>
      </c>
      <c r="G592">
        <v>0</v>
      </c>
      <c r="H592">
        <f t="shared" si="9"/>
        <v>3</v>
      </c>
    </row>
    <row r="593" spans="1:8">
      <c r="A593">
        <v>6208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6219</v>
      </c>
      <c r="C594">
        <v>0</v>
      </c>
      <c r="D594">
        <v>1</v>
      </c>
      <c r="E594">
        <v>2</v>
      </c>
      <c r="F594">
        <v>0</v>
      </c>
      <c r="G594">
        <v>0</v>
      </c>
      <c r="H594">
        <f t="shared" si="9"/>
        <v>3</v>
      </c>
    </row>
    <row r="595" spans="1:8">
      <c r="A595">
        <v>6225</v>
      </c>
      <c r="C595">
        <v>1</v>
      </c>
      <c r="D595">
        <v>1</v>
      </c>
      <c r="E595">
        <v>1</v>
      </c>
      <c r="F595">
        <v>0</v>
      </c>
      <c r="G595">
        <v>0</v>
      </c>
      <c r="H595">
        <f t="shared" si="9"/>
        <v>3</v>
      </c>
    </row>
    <row r="596" spans="1:8">
      <c r="A596">
        <v>6243</v>
      </c>
      <c r="C596">
        <v>1</v>
      </c>
      <c r="D596">
        <v>1</v>
      </c>
      <c r="E596">
        <v>1</v>
      </c>
      <c r="F596">
        <v>0</v>
      </c>
      <c r="G596">
        <v>0</v>
      </c>
      <c r="H596">
        <f t="shared" si="9"/>
        <v>3</v>
      </c>
    </row>
    <row r="597" spans="1:8">
      <c r="A597">
        <v>6244</v>
      </c>
      <c r="C597">
        <v>0</v>
      </c>
      <c r="D597">
        <v>1</v>
      </c>
      <c r="E597">
        <v>1</v>
      </c>
      <c r="F597">
        <v>1</v>
      </c>
      <c r="G597">
        <v>0</v>
      </c>
      <c r="H597">
        <f t="shared" si="9"/>
        <v>3</v>
      </c>
    </row>
    <row r="598" spans="1:8">
      <c r="A598">
        <v>6246</v>
      </c>
      <c r="C598">
        <v>1</v>
      </c>
      <c r="D598">
        <v>1</v>
      </c>
      <c r="E598">
        <v>0</v>
      </c>
      <c r="F598">
        <v>1</v>
      </c>
      <c r="G598">
        <v>0</v>
      </c>
      <c r="H598">
        <f t="shared" si="9"/>
        <v>3</v>
      </c>
    </row>
    <row r="599" spans="1:8">
      <c r="A599">
        <v>6247</v>
      </c>
      <c r="C599">
        <v>1</v>
      </c>
      <c r="D599">
        <v>1</v>
      </c>
      <c r="E599">
        <v>1</v>
      </c>
      <c r="F599">
        <v>0</v>
      </c>
      <c r="G599">
        <v>0</v>
      </c>
      <c r="H599">
        <f t="shared" si="9"/>
        <v>3</v>
      </c>
    </row>
    <row r="600" spans="1:8">
      <c r="A600">
        <v>6265</v>
      </c>
      <c r="C600">
        <v>0</v>
      </c>
      <c r="D600">
        <v>1</v>
      </c>
      <c r="E600">
        <v>1</v>
      </c>
      <c r="F600">
        <v>1</v>
      </c>
      <c r="G600">
        <v>0</v>
      </c>
      <c r="H600">
        <f t="shared" si="9"/>
        <v>3</v>
      </c>
    </row>
    <row r="601" spans="1:8">
      <c r="A601">
        <v>6270</v>
      </c>
      <c r="C601">
        <v>0</v>
      </c>
      <c r="D601">
        <v>1</v>
      </c>
      <c r="E601">
        <v>2</v>
      </c>
      <c r="F601">
        <v>0</v>
      </c>
      <c r="G601">
        <v>0</v>
      </c>
      <c r="H601">
        <f t="shared" si="9"/>
        <v>3</v>
      </c>
    </row>
    <row r="602" spans="1:8">
      <c r="A602">
        <v>6274</v>
      </c>
      <c r="C602">
        <v>1</v>
      </c>
      <c r="D602">
        <v>1</v>
      </c>
      <c r="E602">
        <v>0</v>
      </c>
      <c r="F602">
        <v>1</v>
      </c>
      <c r="G602">
        <v>0</v>
      </c>
      <c r="H602">
        <f t="shared" si="9"/>
        <v>3</v>
      </c>
    </row>
    <row r="603" spans="1:8">
      <c r="A603">
        <v>6282</v>
      </c>
      <c r="C603">
        <v>0</v>
      </c>
      <c r="D603">
        <v>1</v>
      </c>
      <c r="E603">
        <v>2</v>
      </c>
      <c r="F603">
        <v>0</v>
      </c>
      <c r="G603">
        <v>0</v>
      </c>
      <c r="H603">
        <f t="shared" si="9"/>
        <v>3</v>
      </c>
    </row>
    <row r="604" spans="1:8">
      <c r="A604">
        <v>6287</v>
      </c>
      <c r="C604">
        <v>0</v>
      </c>
      <c r="D604">
        <v>1</v>
      </c>
      <c r="E604">
        <v>0</v>
      </c>
      <c r="F604">
        <v>1</v>
      </c>
      <c r="G604">
        <v>1</v>
      </c>
      <c r="H604">
        <f t="shared" si="9"/>
        <v>3</v>
      </c>
    </row>
    <row r="605" spans="1:8">
      <c r="A605">
        <v>6298</v>
      </c>
      <c r="C605">
        <v>0</v>
      </c>
      <c r="D605">
        <v>1</v>
      </c>
      <c r="E605">
        <v>1</v>
      </c>
      <c r="F605">
        <v>1</v>
      </c>
      <c r="G605">
        <v>0</v>
      </c>
      <c r="H605">
        <f t="shared" si="9"/>
        <v>3</v>
      </c>
    </row>
    <row r="606" spans="1:8">
      <c r="A606">
        <v>6409</v>
      </c>
      <c r="C606">
        <v>1</v>
      </c>
      <c r="D606">
        <v>1</v>
      </c>
      <c r="E606">
        <v>0</v>
      </c>
      <c r="F606">
        <v>1</v>
      </c>
      <c r="G606">
        <v>0</v>
      </c>
      <c r="H606">
        <f t="shared" si="9"/>
        <v>3</v>
      </c>
    </row>
    <row r="607" spans="1:8">
      <c r="A607">
        <v>6414</v>
      </c>
      <c r="C607">
        <v>1</v>
      </c>
      <c r="D607">
        <v>1</v>
      </c>
      <c r="E607">
        <v>0</v>
      </c>
      <c r="F607">
        <v>1</v>
      </c>
      <c r="G607">
        <v>0</v>
      </c>
      <c r="H607">
        <f t="shared" si="9"/>
        <v>3</v>
      </c>
    </row>
    <row r="608" spans="1:8">
      <c r="A608">
        <v>6417</v>
      </c>
      <c r="C608">
        <v>1</v>
      </c>
      <c r="D608">
        <v>1</v>
      </c>
      <c r="E608">
        <v>0</v>
      </c>
      <c r="F608">
        <v>1</v>
      </c>
      <c r="G608">
        <v>0</v>
      </c>
      <c r="H608">
        <f t="shared" si="9"/>
        <v>3</v>
      </c>
    </row>
    <row r="609" spans="1:8">
      <c r="A609">
        <v>6426</v>
      </c>
      <c r="C609">
        <v>1</v>
      </c>
      <c r="D609">
        <v>1</v>
      </c>
      <c r="E609">
        <v>0</v>
      </c>
      <c r="F609">
        <v>1</v>
      </c>
      <c r="G609">
        <v>0</v>
      </c>
      <c r="H609">
        <f t="shared" si="9"/>
        <v>3</v>
      </c>
    </row>
    <row r="610" spans="1:8">
      <c r="A610">
        <v>6457</v>
      </c>
      <c r="C610">
        <v>1</v>
      </c>
      <c r="D610">
        <v>1</v>
      </c>
      <c r="E610">
        <v>0</v>
      </c>
      <c r="F610">
        <v>1</v>
      </c>
      <c r="G610">
        <v>0</v>
      </c>
      <c r="H610">
        <f t="shared" si="9"/>
        <v>3</v>
      </c>
    </row>
    <row r="611" spans="1:8">
      <c r="A611">
        <v>6509</v>
      </c>
      <c r="C611">
        <v>1</v>
      </c>
      <c r="D611">
        <v>1</v>
      </c>
      <c r="E611">
        <v>0</v>
      </c>
      <c r="F611">
        <v>1</v>
      </c>
      <c r="G611">
        <v>0</v>
      </c>
      <c r="H611">
        <f t="shared" si="9"/>
        <v>3</v>
      </c>
    </row>
    <row r="612" spans="1:8">
      <c r="A612">
        <v>6803</v>
      </c>
      <c r="C612">
        <v>1</v>
      </c>
      <c r="D612">
        <v>1</v>
      </c>
      <c r="E612">
        <v>0</v>
      </c>
      <c r="F612">
        <v>1</v>
      </c>
      <c r="G612">
        <v>0</v>
      </c>
      <c r="H612">
        <f t="shared" si="9"/>
        <v>3</v>
      </c>
    </row>
    <row r="613" spans="1:8">
      <c r="A613">
        <v>8016</v>
      </c>
      <c r="C613">
        <v>1</v>
      </c>
      <c r="D613">
        <v>1</v>
      </c>
      <c r="E613">
        <v>0</v>
      </c>
      <c r="F613">
        <v>1</v>
      </c>
      <c r="G613">
        <v>0</v>
      </c>
      <c r="H613">
        <f t="shared" si="9"/>
        <v>3</v>
      </c>
    </row>
    <row r="614" spans="1:8">
      <c r="A614">
        <v>8032</v>
      </c>
      <c r="C614">
        <v>1</v>
      </c>
      <c r="D614">
        <v>1</v>
      </c>
      <c r="E614">
        <v>1</v>
      </c>
      <c r="F614">
        <v>0</v>
      </c>
      <c r="G614">
        <v>0</v>
      </c>
      <c r="H614">
        <f t="shared" si="9"/>
        <v>3</v>
      </c>
    </row>
    <row r="615" spans="1:8">
      <c r="A615">
        <v>8034</v>
      </c>
      <c r="C615">
        <v>0</v>
      </c>
      <c r="D615">
        <v>1</v>
      </c>
      <c r="E615">
        <v>2</v>
      </c>
      <c r="F615">
        <v>0</v>
      </c>
      <c r="G615">
        <v>0</v>
      </c>
      <c r="H615">
        <f t="shared" si="9"/>
        <v>3</v>
      </c>
    </row>
    <row r="616" spans="1:8">
      <c r="A616">
        <v>8043</v>
      </c>
      <c r="C616">
        <v>0</v>
      </c>
      <c r="D616">
        <v>1</v>
      </c>
      <c r="E616">
        <v>1</v>
      </c>
      <c r="F616">
        <v>1</v>
      </c>
      <c r="G616">
        <v>0</v>
      </c>
      <c r="H616">
        <f t="shared" si="9"/>
        <v>3</v>
      </c>
    </row>
    <row r="617" spans="1:8">
      <c r="A617">
        <v>8069</v>
      </c>
      <c r="C617">
        <v>1</v>
      </c>
      <c r="D617">
        <v>1</v>
      </c>
      <c r="E617">
        <v>0</v>
      </c>
      <c r="F617">
        <v>1</v>
      </c>
      <c r="G617">
        <v>0</v>
      </c>
      <c r="H617">
        <f t="shared" si="9"/>
        <v>3</v>
      </c>
    </row>
    <row r="618" spans="1:8">
      <c r="A618">
        <v>8076</v>
      </c>
      <c r="C618">
        <v>0</v>
      </c>
      <c r="D618">
        <v>1</v>
      </c>
      <c r="E618">
        <v>2</v>
      </c>
      <c r="F618">
        <v>0</v>
      </c>
      <c r="G618">
        <v>0</v>
      </c>
      <c r="H618">
        <f t="shared" si="9"/>
        <v>3</v>
      </c>
    </row>
    <row r="619" spans="1:8">
      <c r="A619">
        <v>8079</v>
      </c>
      <c r="C619">
        <v>0</v>
      </c>
      <c r="D619">
        <v>1</v>
      </c>
      <c r="E619">
        <v>1</v>
      </c>
      <c r="F619">
        <v>1</v>
      </c>
      <c r="G619">
        <v>0</v>
      </c>
      <c r="H619">
        <f t="shared" si="9"/>
        <v>3</v>
      </c>
    </row>
    <row r="620" spans="1:8">
      <c r="A620">
        <v>8083</v>
      </c>
      <c r="C620">
        <v>1</v>
      </c>
      <c r="D620">
        <v>1</v>
      </c>
      <c r="E620">
        <v>0</v>
      </c>
      <c r="F620">
        <v>1</v>
      </c>
      <c r="G620">
        <v>0</v>
      </c>
      <c r="H620">
        <f t="shared" si="9"/>
        <v>3</v>
      </c>
    </row>
    <row r="621" spans="1:8">
      <c r="A621">
        <v>8096</v>
      </c>
      <c r="C621">
        <v>0</v>
      </c>
      <c r="D621">
        <v>1</v>
      </c>
      <c r="E621">
        <v>2</v>
      </c>
      <c r="F621">
        <v>0</v>
      </c>
      <c r="G621">
        <v>0</v>
      </c>
      <c r="H621">
        <f t="shared" si="9"/>
        <v>3</v>
      </c>
    </row>
    <row r="622" spans="1:8">
      <c r="A622">
        <v>8105</v>
      </c>
      <c r="C622">
        <v>1</v>
      </c>
      <c r="D622">
        <v>1</v>
      </c>
      <c r="E622">
        <v>0</v>
      </c>
      <c r="F622">
        <v>1</v>
      </c>
      <c r="G622">
        <v>0</v>
      </c>
      <c r="H622">
        <f t="shared" si="9"/>
        <v>3</v>
      </c>
    </row>
    <row r="623" spans="1:8">
      <c r="A623">
        <v>8155</v>
      </c>
      <c r="C623">
        <v>0</v>
      </c>
      <c r="D623">
        <v>1</v>
      </c>
      <c r="E623">
        <v>1</v>
      </c>
      <c r="F623">
        <v>1</v>
      </c>
      <c r="G623">
        <v>0</v>
      </c>
      <c r="H623">
        <f t="shared" si="9"/>
        <v>3</v>
      </c>
    </row>
    <row r="624" spans="1:8">
      <c r="A624">
        <v>8201</v>
      </c>
      <c r="C624">
        <v>0</v>
      </c>
      <c r="D624">
        <v>1</v>
      </c>
      <c r="E624">
        <v>1</v>
      </c>
      <c r="F624">
        <v>1</v>
      </c>
      <c r="G624">
        <v>0</v>
      </c>
      <c r="H624">
        <f t="shared" si="9"/>
        <v>3</v>
      </c>
    </row>
    <row r="625" spans="1:8">
      <c r="A625">
        <v>8213</v>
      </c>
      <c r="C625">
        <v>0</v>
      </c>
      <c r="D625">
        <v>1</v>
      </c>
      <c r="E625">
        <v>2</v>
      </c>
      <c r="F625">
        <v>0</v>
      </c>
      <c r="G625">
        <v>0</v>
      </c>
      <c r="H625">
        <f t="shared" si="9"/>
        <v>3</v>
      </c>
    </row>
    <row r="626" spans="1:8">
      <c r="A626">
        <v>8222</v>
      </c>
      <c r="C626">
        <v>1</v>
      </c>
      <c r="D626">
        <v>1</v>
      </c>
      <c r="E626">
        <v>0</v>
      </c>
      <c r="F626">
        <v>1</v>
      </c>
      <c r="G626">
        <v>0</v>
      </c>
      <c r="H626">
        <f t="shared" si="9"/>
        <v>3</v>
      </c>
    </row>
    <row r="627" spans="1:8">
      <c r="A627">
        <v>8255</v>
      </c>
      <c r="C627">
        <v>1</v>
      </c>
      <c r="D627">
        <v>1</v>
      </c>
      <c r="E627">
        <v>0</v>
      </c>
      <c r="F627">
        <v>1</v>
      </c>
      <c r="G627">
        <v>0</v>
      </c>
      <c r="H627">
        <f t="shared" si="9"/>
        <v>3</v>
      </c>
    </row>
    <row r="628" spans="1:8">
      <c r="A628">
        <v>8261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8266</v>
      </c>
      <c r="C629">
        <v>1</v>
      </c>
      <c r="D629">
        <v>1</v>
      </c>
      <c r="E629">
        <v>0</v>
      </c>
      <c r="F629">
        <v>1</v>
      </c>
      <c r="G629">
        <v>0</v>
      </c>
      <c r="H629">
        <f t="shared" si="9"/>
        <v>3</v>
      </c>
    </row>
    <row r="630" spans="1:8">
      <c r="A630">
        <v>8354</v>
      </c>
      <c r="C630">
        <v>1</v>
      </c>
      <c r="D630">
        <v>1</v>
      </c>
      <c r="E630">
        <v>0</v>
      </c>
      <c r="F630">
        <v>1</v>
      </c>
      <c r="G630">
        <v>0</v>
      </c>
      <c r="H630">
        <f t="shared" si="9"/>
        <v>3</v>
      </c>
    </row>
    <row r="631" spans="1:8">
      <c r="A631">
        <v>8358</v>
      </c>
      <c r="C631">
        <v>0</v>
      </c>
      <c r="D631">
        <v>1</v>
      </c>
      <c r="E631">
        <v>1</v>
      </c>
      <c r="F631">
        <v>1</v>
      </c>
      <c r="G631">
        <v>0</v>
      </c>
      <c r="H631">
        <f t="shared" si="9"/>
        <v>3</v>
      </c>
    </row>
    <row r="632" spans="1:8">
      <c r="A632">
        <v>8383</v>
      </c>
      <c r="C632">
        <v>1</v>
      </c>
      <c r="D632">
        <v>1</v>
      </c>
      <c r="E632">
        <v>0</v>
      </c>
      <c r="F632">
        <v>1</v>
      </c>
      <c r="G632">
        <v>0</v>
      </c>
      <c r="H632">
        <f t="shared" si="9"/>
        <v>3</v>
      </c>
    </row>
    <row r="633" spans="1:8">
      <c r="A633">
        <v>8410</v>
      </c>
      <c r="C633">
        <v>0</v>
      </c>
      <c r="D633">
        <v>1</v>
      </c>
      <c r="E633">
        <v>2</v>
      </c>
      <c r="F633">
        <v>0</v>
      </c>
      <c r="G633">
        <v>0</v>
      </c>
      <c r="H633">
        <f t="shared" si="9"/>
        <v>3</v>
      </c>
    </row>
    <row r="634" spans="1:8">
      <c r="A634">
        <v>8423</v>
      </c>
      <c r="C634">
        <v>1</v>
      </c>
      <c r="D634">
        <v>1</v>
      </c>
      <c r="E634">
        <v>0</v>
      </c>
      <c r="F634">
        <v>1</v>
      </c>
      <c r="G634">
        <v>0</v>
      </c>
      <c r="H634">
        <f t="shared" si="9"/>
        <v>3</v>
      </c>
    </row>
    <row r="635" spans="1:8">
      <c r="A635">
        <v>8450</v>
      </c>
      <c r="C635">
        <v>1</v>
      </c>
      <c r="D635">
        <v>1</v>
      </c>
      <c r="E635">
        <v>0</v>
      </c>
      <c r="F635">
        <v>1</v>
      </c>
      <c r="G635">
        <v>0</v>
      </c>
      <c r="H635">
        <f t="shared" si="9"/>
        <v>3</v>
      </c>
    </row>
    <row r="636" spans="1:8">
      <c r="A636">
        <v>8917</v>
      </c>
      <c r="C636">
        <v>0</v>
      </c>
      <c r="D636">
        <v>1</v>
      </c>
      <c r="E636">
        <v>1</v>
      </c>
      <c r="F636">
        <v>1</v>
      </c>
      <c r="G636">
        <v>0</v>
      </c>
      <c r="H636">
        <f t="shared" si="9"/>
        <v>3</v>
      </c>
    </row>
    <row r="637" spans="1:8">
      <c r="A637">
        <v>8921</v>
      </c>
      <c r="C637">
        <v>0</v>
      </c>
      <c r="D637">
        <v>1</v>
      </c>
      <c r="E637">
        <v>1</v>
      </c>
      <c r="F637">
        <v>1</v>
      </c>
      <c r="G637">
        <v>0</v>
      </c>
      <c r="H637">
        <f t="shared" si="9"/>
        <v>3</v>
      </c>
    </row>
    <row r="638" spans="1:8">
      <c r="A638">
        <v>8925</v>
      </c>
      <c r="C638">
        <v>0</v>
      </c>
      <c r="D638">
        <v>1</v>
      </c>
      <c r="E638">
        <v>2</v>
      </c>
      <c r="F638">
        <v>0</v>
      </c>
      <c r="G638">
        <v>0</v>
      </c>
      <c r="H638">
        <f t="shared" si="9"/>
        <v>3</v>
      </c>
    </row>
    <row r="639" spans="1:8">
      <c r="A639">
        <v>8926</v>
      </c>
      <c r="C639">
        <v>0</v>
      </c>
      <c r="D639">
        <v>0</v>
      </c>
      <c r="E639">
        <v>2</v>
      </c>
      <c r="F639">
        <v>1</v>
      </c>
      <c r="G639">
        <v>0</v>
      </c>
      <c r="H639">
        <f t="shared" si="9"/>
        <v>3</v>
      </c>
    </row>
    <row r="640" spans="1:8">
      <c r="A640">
        <v>8927</v>
      </c>
      <c r="C640">
        <v>0</v>
      </c>
      <c r="D640">
        <v>0</v>
      </c>
      <c r="E640">
        <v>2</v>
      </c>
      <c r="F640">
        <v>1</v>
      </c>
      <c r="G640">
        <v>0</v>
      </c>
      <c r="H640">
        <f t="shared" si="9"/>
        <v>3</v>
      </c>
    </row>
    <row r="641" spans="1:8">
      <c r="A641">
        <v>8928</v>
      </c>
      <c r="C641">
        <v>0</v>
      </c>
      <c r="D641">
        <v>1</v>
      </c>
      <c r="E641">
        <v>2</v>
      </c>
      <c r="F641">
        <v>0</v>
      </c>
      <c r="G641">
        <v>0</v>
      </c>
      <c r="H641">
        <f t="shared" si="9"/>
        <v>3</v>
      </c>
    </row>
    <row r="642" spans="1:8">
      <c r="A642">
        <v>8942</v>
      </c>
      <c r="C642">
        <v>1</v>
      </c>
      <c r="D642">
        <v>1</v>
      </c>
      <c r="E642">
        <v>0</v>
      </c>
      <c r="F642">
        <v>1</v>
      </c>
      <c r="G642">
        <v>0</v>
      </c>
      <c r="H642">
        <f t="shared" ref="H642:H705" si="10">SUM(C642:G642)</f>
        <v>3</v>
      </c>
    </row>
    <row r="643" spans="1:8">
      <c r="A643">
        <v>9904</v>
      </c>
      <c r="C643">
        <v>0</v>
      </c>
      <c r="D643">
        <v>1</v>
      </c>
      <c r="E643">
        <v>0</v>
      </c>
      <c r="F643">
        <v>1</v>
      </c>
      <c r="G643">
        <v>1</v>
      </c>
      <c r="H643">
        <f t="shared" si="10"/>
        <v>3</v>
      </c>
    </row>
    <row r="644" spans="1:8">
      <c r="A644">
        <v>9921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9927</v>
      </c>
      <c r="C645">
        <v>0</v>
      </c>
      <c r="D645">
        <v>0</v>
      </c>
      <c r="E645">
        <v>2</v>
      </c>
      <c r="F645">
        <v>1</v>
      </c>
      <c r="G645">
        <v>0</v>
      </c>
      <c r="H645">
        <f t="shared" si="10"/>
        <v>3</v>
      </c>
    </row>
    <row r="646" spans="1:8">
      <c r="A646">
        <v>9929</v>
      </c>
      <c r="C646">
        <v>0</v>
      </c>
      <c r="D646">
        <v>1</v>
      </c>
      <c r="E646">
        <v>2</v>
      </c>
      <c r="F646">
        <v>0</v>
      </c>
      <c r="G646">
        <v>0</v>
      </c>
      <c r="H646">
        <f t="shared" si="10"/>
        <v>3</v>
      </c>
    </row>
    <row r="647" spans="1:8">
      <c r="A647">
        <v>9930</v>
      </c>
      <c r="C647">
        <v>0</v>
      </c>
      <c r="D647">
        <v>1</v>
      </c>
      <c r="E647">
        <v>1</v>
      </c>
      <c r="F647">
        <v>1</v>
      </c>
      <c r="G647">
        <v>0</v>
      </c>
      <c r="H647">
        <f t="shared" si="10"/>
        <v>3</v>
      </c>
    </row>
    <row r="648" spans="1:8">
      <c r="A648">
        <v>9934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9937</v>
      </c>
      <c r="C649">
        <v>0</v>
      </c>
      <c r="D649">
        <v>1</v>
      </c>
      <c r="E649">
        <v>2</v>
      </c>
      <c r="F649">
        <v>0</v>
      </c>
      <c r="G649">
        <v>0</v>
      </c>
      <c r="H649">
        <f t="shared" si="10"/>
        <v>3</v>
      </c>
    </row>
    <row r="650" spans="1:8">
      <c r="A650">
        <v>9938</v>
      </c>
      <c r="C650">
        <v>1</v>
      </c>
      <c r="D650">
        <v>1</v>
      </c>
      <c r="E650">
        <v>0</v>
      </c>
      <c r="F650">
        <v>1</v>
      </c>
      <c r="G650">
        <v>0</v>
      </c>
      <c r="H650">
        <f t="shared" si="10"/>
        <v>3</v>
      </c>
    </row>
    <row r="651" spans="1:8">
      <c r="A651">
        <v>9950</v>
      </c>
      <c r="C651">
        <v>0</v>
      </c>
      <c r="D651">
        <v>1</v>
      </c>
      <c r="E651">
        <v>1</v>
      </c>
      <c r="F651">
        <v>1</v>
      </c>
      <c r="G651">
        <v>0</v>
      </c>
      <c r="H651">
        <f t="shared" si="10"/>
        <v>3</v>
      </c>
    </row>
    <row r="652" spans="1:8">
      <c r="A652">
        <v>9951</v>
      </c>
      <c r="C652">
        <v>1</v>
      </c>
      <c r="D652">
        <v>1</v>
      </c>
      <c r="E652">
        <v>0</v>
      </c>
      <c r="F652">
        <v>1</v>
      </c>
      <c r="G652">
        <v>0</v>
      </c>
      <c r="H652">
        <f t="shared" si="10"/>
        <v>3</v>
      </c>
    </row>
    <row r="653" spans="1:8">
      <c r="A653">
        <v>1104</v>
      </c>
      <c r="C653">
        <v>0</v>
      </c>
      <c r="D653">
        <v>0</v>
      </c>
      <c r="E653">
        <v>1</v>
      </c>
      <c r="F653">
        <v>1</v>
      </c>
      <c r="G653">
        <v>0</v>
      </c>
      <c r="H653">
        <f t="shared" si="10"/>
        <v>2</v>
      </c>
    </row>
    <row r="654" spans="1:8">
      <c r="A654">
        <v>1108</v>
      </c>
      <c r="C654">
        <v>0</v>
      </c>
      <c r="D654">
        <v>1</v>
      </c>
      <c r="E654">
        <v>0</v>
      </c>
      <c r="F654">
        <v>1</v>
      </c>
      <c r="G654">
        <v>0</v>
      </c>
      <c r="H654">
        <f t="shared" si="10"/>
        <v>2</v>
      </c>
    </row>
    <row r="655" spans="1:8">
      <c r="A655">
        <v>1109</v>
      </c>
      <c r="C655">
        <v>0</v>
      </c>
      <c r="D655">
        <v>0</v>
      </c>
      <c r="E655">
        <v>1</v>
      </c>
      <c r="F655">
        <v>1</v>
      </c>
      <c r="G655">
        <v>0</v>
      </c>
      <c r="H655">
        <f t="shared" si="10"/>
        <v>2</v>
      </c>
    </row>
    <row r="656" spans="1:8">
      <c r="A656">
        <v>1110</v>
      </c>
      <c r="C656">
        <v>0</v>
      </c>
      <c r="D656">
        <v>1</v>
      </c>
      <c r="E656">
        <v>0</v>
      </c>
      <c r="F656">
        <v>1</v>
      </c>
      <c r="G656">
        <v>0</v>
      </c>
      <c r="H656">
        <f t="shared" si="10"/>
        <v>2</v>
      </c>
    </row>
    <row r="657" spans="1:8">
      <c r="A657">
        <v>1210</v>
      </c>
      <c r="C657">
        <v>0</v>
      </c>
      <c r="D657">
        <v>1</v>
      </c>
      <c r="E657">
        <v>1</v>
      </c>
      <c r="F657">
        <v>0</v>
      </c>
      <c r="G657">
        <v>0</v>
      </c>
      <c r="H657">
        <f t="shared" si="10"/>
        <v>2</v>
      </c>
    </row>
    <row r="658" spans="1:8">
      <c r="A658">
        <v>1217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1219</v>
      </c>
      <c r="C659">
        <v>0</v>
      </c>
      <c r="D659">
        <v>1</v>
      </c>
      <c r="E659">
        <v>1</v>
      </c>
      <c r="F659">
        <v>0</v>
      </c>
      <c r="G659">
        <v>0</v>
      </c>
      <c r="H659">
        <f t="shared" si="10"/>
        <v>2</v>
      </c>
    </row>
    <row r="660" spans="1:8">
      <c r="A660">
        <v>1220</v>
      </c>
      <c r="C660">
        <v>1</v>
      </c>
      <c r="D660">
        <v>1</v>
      </c>
      <c r="E660">
        <v>0</v>
      </c>
      <c r="F660">
        <v>0</v>
      </c>
      <c r="G660">
        <v>0</v>
      </c>
      <c r="H660">
        <f t="shared" si="10"/>
        <v>2</v>
      </c>
    </row>
    <row r="661" spans="1:8">
      <c r="A661">
        <v>1264</v>
      </c>
      <c r="C661">
        <v>0</v>
      </c>
      <c r="D661">
        <v>1</v>
      </c>
      <c r="E661">
        <v>0</v>
      </c>
      <c r="F661">
        <v>1</v>
      </c>
      <c r="G661">
        <v>0</v>
      </c>
      <c r="H661">
        <f t="shared" si="10"/>
        <v>2</v>
      </c>
    </row>
    <row r="662" spans="1:8">
      <c r="A662">
        <v>1301</v>
      </c>
      <c r="C662">
        <v>0</v>
      </c>
      <c r="D662">
        <v>1</v>
      </c>
      <c r="E662">
        <v>0</v>
      </c>
      <c r="F662">
        <v>1</v>
      </c>
      <c r="G662">
        <v>0</v>
      </c>
      <c r="H662">
        <f t="shared" si="10"/>
        <v>2</v>
      </c>
    </row>
    <row r="663" spans="1:8">
      <c r="A663">
        <v>1303</v>
      </c>
      <c r="C663">
        <v>0</v>
      </c>
      <c r="D663">
        <v>1</v>
      </c>
      <c r="E663">
        <v>0</v>
      </c>
      <c r="F663">
        <v>1</v>
      </c>
      <c r="G663">
        <v>0</v>
      </c>
      <c r="H663">
        <f t="shared" si="10"/>
        <v>2</v>
      </c>
    </row>
    <row r="664" spans="1:8">
      <c r="A664">
        <v>1305</v>
      </c>
      <c r="C664">
        <v>0</v>
      </c>
      <c r="D664">
        <v>1</v>
      </c>
      <c r="E664">
        <v>0</v>
      </c>
      <c r="F664">
        <v>1</v>
      </c>
      <c r="G664">
        <v>0</v>
      </c>
      <c r="H664">
        <f t="shared" si="10"/>
        <v>2</v>
      </c>
    </row>
    <row r="665" spans="1:8">
      <c r="A665">
        <v>1310</v>
      </c>
      <c r="C665">
        <v>0</v>
      </c>
      <c r="D665">
        <v>1</v>
      </c>
      <c r="E665">
        <v>0</v>
      </c>
      <c r="F665">
        <v>1</v>
      </c>
      <c r="G665">
        <v>0</v>
      </c>
      <c r="H665">
        <f t="shared" si="10"/>
        <v>2</v>
      </c>
    </row>
    <row r="666" spans="1:8">
      <c r="A666">
        <v>1312</v>
      </c>
      <c r="C666">
        <v>0</v>
      </c>
      <c r="D666">
        <v>1</v>
      </c>
      <c r="E666">
        <v>0</v>
      </c>
      <c r="F666">
        <v>1</v>
      </c>
      <c r="G666">
        <v>0</v>
      </c>
      <c r="H666">
        <f t="shared" si="10"/>
        <v>2</v>
      </c>
    </row>
    <row r="667" spans="1:8">
      <c r="A667">
        <v>1314</v>
      </c>
      <c r="C667">
        <v>0</v>
      </c>
      <c r="D667">
        <v>1</v>
      </c>
      <c r="E667">
        <v>1</v>
      </c>
      <c r="F667">
        <v>0</v>
      </c>
      <c r="G667">
        <v>0</v>
      </c>
      <c r="H667">
        <f t="shared" si="10"/>
        <v>2</v>
      </c>
    </row>
    <row r="668" spans="1:8">
      <c r="A668">
        <v>1323</v>
      </c>
      <c r="C668">
        <v>0</v>
      </c>
      <c r="D668">
        <v>1</v>
      </c>
      <c r="E668">
        <v>0</v>
      </c>
      <c r="F668">
        <v>1</v>
      </c>
      <c r="G668">
        <v>0</v>
      </c>
      <c r="H668">
        <f t="shared" si="10"/>
        <v>2</v>
      </c>
    </row>
    <row r="669" spans="1:8">
      <c r="A669">
        <v>1324</v>
      </c>
      <c r="C669">
        <v>1</v>
      </c>
      <c r="D669">
        <v>1</v>
      </c>
      <c r="E669">
        <v>0</v>
      </c>
      <c r="F669">
        <v>0</v>
      </c>
      <c r="G669">
        <v>0</v>
      </c>
      <c r="H669">
        <f t="shared" si="10"/>
        <v>2</v>
      </c>
    </row>
    <row r="670" spans="1:8">
      <c r="A670">
        <v>1326</v>
      </c>
      <c r="C670">
        <v>0</v>
      </c>
      <c r="D670">
        <v>1</v>
      </c>
      <c r="E670">
        <v>0</v>
      </c>
      <c r="F670">
        <v>1</v>
      </c>
      <c r="G670">
        <v>0</v>
      </c>
      <c r="H670">
        <f t="shared" si="10"/>
        <v>2</v>
      </c>
    </row>
    <row r="671" spans="1:8">
      <c r="A671">
        <v>1336</v>
      </c>
      <c r="C671">
        <v>0</v>
      </c>
      <c r="D671">
        <v>1</v>
      </c>
      <c r="E671">
        <v>1</v>
      </c>
      <c r="F671">
        <v>0</v>
      </c>
      <c r="G671">
        <v>0</v>
      </c>
      <c r="H671">
        <f t="shared" si="10"/>
        <v>2</v>
      </c>
    </row>
    <row r="672" spans="1:8">
      <c r="A672">
        <v>1338</v>
      </c>
      <c r="C672">
        <v>0</v>
      </c>
      <c r="D672">
        <v>1</v>
      </c>
      <c r="E672">
        <v>0</v>
      </c>
      <c r="F672">
        <v>1</v>
      </c>
      <c r="G672">
        <v>0</v>
      </c>
      <c r="H672">
        <f t="shared" si="10"/>
        <v>2</v>
      </c>
    </row>
    <row r="673" spans="1:8">
      <c r="A673">
        <v>1340</v>
      </c>
      <c r="C673">
        <v>0</v>
      </c>
      <c r="D673">
        <v>1</v>
      </c>
      <c r="E673">
        <v>0</v>
      </c>
      <c r="F673">
        <v>1</v>
      </c>
      <c r="G673">
        <v>0</v>
      </c>
      <c r="H673">
        <f t="shared" si="10"/>
        <v>2</v>
      </c>
    </row>
    <row r="674" spans="1:8">
      <c r="A674">
        <v>1410</v>
      </c>
      <c r="C674">
        <v>0</v>
      </c>
      <c r="D674">
        <v>1</v>
      </c>
      <c r="E674">
        <v>0</v>
      </c>
      <c r="F674">
        <v>1</v>
      </c>
      <c r="G674">
        <v>0</v>
      </c>
      <c r="H674">
        <f t="shared" si="10"/>
        <v>2</v>
      </c>
    </row>
    <row r="675" spans="1:8">
      <c r="A675">
        <v>1413</v>
      </c>
      <c r="C675">
        <v>0</v>
      </c>
      <c r="D675">
        <v>1</v>
      </c>
      <c r="E675">
        <v>0</v>
      </c>
      <c r="F675">
        <v>1</v>
      </c>
      <c r="G675">
        <v>0</v>
      </c>
      <c r="H675">
        <f t="shared" si="10"/>
        <v>2</v>
      </c>
    </row>
    <row r="676" spans="1:8">
      <c r="A676">
        <v>1414</v>
      </c>
      <c r="C676">
        <v>0</v>
      </c>
      <c r="D676">
        <v>1</v>
      </c>
      <c r="E676">
        <v>0</v>
      </c>
      <c r="F676">
        <v>1</v>
      </c>
      <c r="G676">
        <v>0</v>
      </c>
      <c r="H676">
        <f t="shared" si="10"/>
        <v>2</v>
      </c>
    </row>
    <row r="677" spans="1:8">
      <c r="A677">
        <v>1419</v>
      </c>
      <c r="C677">
        <v>1</v>
      </c>
      <c r="D677">
        <v>1</v>
      </c>
      <c r="E677">
        <v>0</v>
      </c>
      <c r="F677">
        <v>0</v>
      </c>
      <c r="G677">
        <v>0</v>
      </c>
      <c r="H677">
        <f t="shared" si="10"/>
        <v>2</v>
      </c>
    </row>
    <row r="678" spans="1:8">
      <c r="A678">
        <v>1432</v>
      </c>
      <c r="C678">
        <v>0</v>
      </c>
      <c r="D678">
        <v>0</v>
      </c>
      <c r="E678">
        <v>1</v>
      </c>
      <c r="F678">
        <v>1</v>
      </c>
      <c r="G678">
        <v>0</v>
      </c>
      <c r="H678">
        <f t="shared" si="10"/>
        <v>2</v>
      </c>
    </row>
    <row r="679" spans="1:8">
      <c r="A679">
        <v>1434</v>
      </c>
      <c r="C679">
        <v>0</v>
      </c>
      <c r="D679">
        <v>1</v>
      </c>
      <c r="E679">
        <v>0</v>
      </c>
      <c r="F679">
        <v>1</v>
      </c>
      <c r="G679">
        <v>0</v>
      </c>
      <c r="H679">
        <f t="shared" si="10"/>
        <v>2</v>
      </c>
    </row>
    <row r="680" spans="1:8">
      <c r="A680">
        <v>1436</v>
      </c>
      <c r="C680">
        <v>0</v>
      </c>
      <c r="D680">
        <v>1</v>
      </c>
      <c r="E680">
        <v>1</v>
      </c>
      <c r="F680">
        <v>0</v>
      </c>
      <c r="G680">
        <v>0</v>
      </c>
      <c r="H680">
        <f t="shared" si="10"/>
        <v>2</v>
      </c>
    </row>
    <row r="681" spans="1:8">
      <c r="A681">
        <v>1441</v>
      </c>
      <c r="C681">
        <v>0</v>
      </c>
      <c r="D681">
        <v>1</v>
      </c>
      <c r="E681">
        <v>0</v>
      </c>
      <c r="F681">
        <v>1</v>
      </c>
      <c r="G681">
        <v>0</v>
      </c>
      <c r="H681">
        <f t="shared" si="10"/>
        <v>2</v>
      </c>
    </row>
    <row r="682" spans="1:8">
      <c r="A682">
        <v>1444</v>
      </c>
      <c r="C682">
        <v>0</v>
      </c>
      <c r="D682">
        <v>1</v>
      </c>
      <c r="E682">
        <v>0</v>
      </c>
      <c r="F682">
        <v>1</v>
      </c>
      <c r="G682">
        <v>0</v>
      </c>
      <c r="H682">
        <f t="shared" si="10"/>
        <v>2</v>
      </c>
    </row>
    <row r="683" spans="1:8">
      <c r="A683">
        <v>1445</v>
      </c>
      <c r="C683">
        <v>1</v>
      </c>
      <c r="D683">
        <v>1</v>
      </c>
      <c r="E683">
        <v>0</v>
      </c>
      <c r="F683">
        <v>0</v>
      </c>
      <c r="G683">
        <v>0</v>
      </c>
      <c r="H683">
        <f t="shared" si="10"/>
        <v>2</v>
      </c>
    </row>
    <row r="684" spans="1:8">
      <c r="A684">
        <v>1452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1457</v>
      </c>
      <c r="C685">
        <v>0</v>
      </c>
      <c r="D685">
        <v>1</v>
      </c>
      <c r="E685">
        <v>0</v>
      </c>
      <c r="F685">
        <v>0</v>
      </c>
      <c r="G685">
        <v>1</v>
      </c>
      <c r="H685">
        <f t="shared" si="10"/>
        <v>2</v>
      </c>
    </row>
    <row r="686" spans="1:8">
      <c r="A686">
        <v>1463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1470</v>
      </c>
      <c r="C687">
        <v>0</v>
      </c>
      <c r="D687">
        <v>1</v>
      </c>
      <c r="E687">
        <v>0</v>
      </c>
      <c r="F687">
        <v>1</v>
      </c>
      <c r="G687">
        <v>0</v>
      </c>
      <c r="H687">
        <f t="shared" si="10"/>
        <v>2</v>
      </c>
    </row>
    <row r="688" spans="1:8">
      <c r="A688">
        <v>1503</v>
      </c>
      <c r="C688">
        <v>0</v>
      </c>
      <c r="D688">
        <v>1</v>
      </c>
      <c r="E688">
        <v>1</v>
      </c>
      <c r="F688">
        <v>0</v>
      </c>
      <c r="G688">
        <v>0</v>
      </c>
      <c r="H688">
        <f t="shared" si="10"/>
        <v>2</v>
      </c>
    </row>
    <row r="689" spans="1:8">
      <c r="A689">
        <v>1504</v>
      </c>
      <c r="C689">
        <v>0</v>
      </c>
      <c r="D689">
        <v>1</v>
      </c>
      <c r="E689">
        <v>0</v>
      </c>
      <c r="F689">
        <v>1</v>
      </c>
      <c r="G689">
        <v>0</v>
      </c>
      <c r="H689">
        <f t="shared" si="10"/>
        <v>2</v>
      </c>
    </row>
    <row r="690" spans="1:8">
      <c r="A690">
        <v>1507</v>
      </c>
      <c r="C690">
        <v>0</v>
      </c>
      <c r="D690">
        <v>1</v>
      </c>
      <c r="E690">
        <v>1</v>
      </c>
      <c r="F690">
        <v>0</v>
      </c>
      <c r="G690">
        <v>0</v>
      </c>
      <c r="H690">
        <f t="shared" si="10"/>
        <v>2</v>
      </c>
    </row>
    <row r="691" spans="1:8">
      <c r="A691">
        <v>1513</v>
      </c>
      <c r="C691">
        <v>1</v>
      </c>
      <c r="D691">
        <v>1</v>
      </c>
      <c r="E691">
        <v>0</v>
      </c>
      <c r="F691">
        <v>0</v>
      </c>
      <c r="G691">
        <v>0</v>
      </c>
      <c r="H691">
        <f t="shared" si="10"/>
        <v>2</v>
      </c>
    </row>
    <row r="692" spans="1:8">
      <c r="A692">
        <v>1516</v>
      </c>
      <c r="C692">
        <v>0</v>
      </c>
      <c r="D692">
        <v>1</v>
      </c>
      <c r="E692">
        <v>1</v>
      </c>
      <c r="F692">
        <v>0</v>
      </c>
      <c r="G692">
        <v>0</v>
      </c>
      <c r="H692">
        <f t="shared" si="10"/>
        <v>2</v>
      </c>
    </row>
    <row r="693" spans="1:8">
      <c r="A693">
        <v>1517</v>
      </c>
      <c r="C693">
        <v>0</v>
      </c>
      <c r="D693">
        <v>1</v>
      </c>
      <c r="E693">
        <v>0</v>
      </c>
      <c r="F693">
        <v>1</v>
      </c>
      <c r="G693">
        <v>0</v>
      </c>
      <c r="H693">
        <f t="shared" si="10"/>
        <v>2</v>
      </c>
    </row>
    <row r="694" spans="1:8">
      <c r="A694">
        <v>1521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1530</v>
      </c>
      <c r="C695">
        <v>1</v>
      </c>
      <c r="D695">
        <v>1</v>
      </c>
      <c r="E695">
        <v>0</v>
      </c>
      <c r="F695">
        <v>0</v>
      </c>
      <c r="G695">
        <v>0</v>
      </c>
      <c r="H695">
        <f t="shared" si="10"/>
        <v>2</v>
      </c>
    </row>
    <row r="696" spans="1:8">
      <c r="A696">
        <v>1538</v>
      </c>
      <c r="C696">
        <v>1</v>
      </c>
      <c r="D696">
        <v>1</v>
      </c>
      <c r="E696">
        <v>0</v>
      </c>
      <c r="F696">
        <v>0</v>
      </c>
      <c r="G696">
        <v>0</v>
      </c>
      <c r="H696">
        <f t="shared" si="10"/>
        <v>2</v>
      </c>
    </row>
    <row r="697" spans="1:8">
      <c r="A697">
        <v>1595</v>
      </c>
      <c r="C697">
        <v>0</v>
      </c>
      <c r="D697">
        <v>1</v>
      </c>
      <c r="E697">
        <v>0</v>
      </c>
      <c r="F697">
        <v>1</v>
      </c>
      <c r="G697">
        <v>0</v>
      </c>
      <c r="H697">
        <f t="shared" si="10"/>
        <v>2</v>
      </c>
    </row>
    <row r="698" spans="1:8">
      <c r="A698">
        <v>1614</v>
      </c>
      <c r="C698">
        <v>0</v>
      </c>
      <c r="D698">
        <v>1</v>
      </c>
      <c r="E698">
        <v>0</v>
      </c>
      <c r="F698">
        <v>1</v>
      </c>
      <c r="G698">
        <v>0</v>
      </c>
      <c r="H698">
        <f t="shared" si="10"/>
        <v>2</v>
      </c>
    </row>
    <row r="699" spans="1:8">
      <c r="A699">
        <v>1615</v>
      </c>
      <c r="C699">
        <v>0</v>
      </c>
      <c r="D699">
        <v>1</v>
      </c>
      <c r="E699">
        <v>1</v>
      </c>
      <c r="F699">
        <v>0</v>
      </c>
      <c r="G699">
        <v>0</v>
      </c>
      <c r="H699">
        <f t="shared" si="10"/>
        <v>2</v>
      </c>
    </row>
    <row r="700" spans="1:8">
      <c r="A700">
        <v>1617</v>
      </c>
      <c r="C700">
        <v>0</v>
      </c>
      <c r="D700">
        <v>1</v>
      </c>
      <c r="E700">
        <v>0</v>
      </c>
      <c r="F700">
        <v>1</v>
      </c>
      <c r="G700">
        <v>0</v>
      </c>
      <c r="H700">
        <f t="shared" si="10"/>
        <v>2</v>
      </c>
    </row>
    <row r="701" spans="1:8">
      <c r="A701">
        <v>1702</v>
      </c>
      <c r="C701">
        <v>0</v>
      </c>
      <c r="D701">
        <v>0</v>
      </c>
      <c r="E701">
        <v>1</v>
      </c>
      <c r="F701">
        <v>1</v>
      </c>
      <c r="G701">
        <v>0</v>
      </c>
      <c r="H701">
        <f t="shared" si="10"/>
        <v>2</v>
      </c>
    </row>
    <row r="702" spans="1:8">
      <c r="A702">
        <v>1707</v>
      </c>
      <c r="C702">
        <v>0</v>
      </c>
      <c r="D702">
        <v>1</v>
      </c>
      <c r="E702">
        <v>0</v>
      </c>
      <c r="F702">
        <v>0</v>
      </c>
      <c r="G702">
        <v>1</v>
      </c>
      <c r="H702">
        <f t="shared" si="10"/>
        <v>2</v>
      </c>
    </row>
    <row r="703" spans="1:8">
      <c r="A703">
        <v>1709</v>
      </c>
      <c r="C703">
        <v>1</v>
      </c>
      <c r="D703">
        <v>1</v>
      </c>
      <c r="E703">
        <v>0</v>
      </c>
      <c r="F703">
        <v>0</v>
      </c>
      <c r="G703">
        <v>0</v>
      </c>
      <c r="H703">
        <f t="shared" si="10"/>
        <v>2</v>
      </c>
    </row>
    <row r="704" spans="1:8">
      <c r="A704">
        <v>1712</v>
      </c>
      <c r="C704">
        <v>0</v>
      </c>
      <c r="D704">
        <v>0</v>
      </c>
      <c r="E704">
        <v>1</v>
      </c>
      <c r="F704">
        <v>1</v>
      </c>
      <c r="G704">
        <v>0</v>
      </c>
      <c r="H704">
        <f t="shared" si="10"/>
        <v>2</v>
      </c>
    </row>
    <row r="705" spans="1:8">
      <c r="A705">
        <v>1727</v>
      </c>
      <c r="C705">
        <v>0</v>
      </c>
      <c r="D705">
        <v>1</v>
      </c>
      <c r="E705">
        <v>0</v>
      </c>
      <c r="F705">
        <v>1</v>
      </c>
      <c r="G705">
        <v>0</v>
      </c>
      <c r="H705">
        <f t="shared" si="10"/>
        <v>2</v>
      </c>
    </row>
    <row r="706" spans="1:8">
      <c r="A706">
        <v>1731</v>
      </c>
      <c r="C706">
        <v>0</v>
      </c>
      <c r="D706">
        <v>1</v>
      </c>
      <c r="E706">
        <v>0</v>
      </c>
      <c r="F706">
        <v>1</v>
      </c>
      <c r="G706">
        <v>0</v>
      </c>
      <c r="H706">
        <f t="shared" ref="H706:H769" si="11">SUM(C706:G706)</f>
        <v>2</v>
      </c>
    </row>
    <row r="707" spans="1:8">
      <c r="A707">
        <v>1734</v>
      </c>
      <c r="C707">
        <v>0</v>
      </c>
      <c r="D707">
        <v>1</v>
      </c>
      <c r="E707">
        <v>0</v>
      </c>
      <c r="F707">
        <v>1</v>
      </c>
      <c r="G707">
        <v>0</v>
      </c>
      <c r="H707">
        <f t="shared" si="11"/>
        <v>2</v>
      </c>
    </row>
    <row r="708" spans="1:8">
      <c r="A708">
        <v>1735</v>
      </c>
      <c r="C708">
        <v>0</v>
      </c>
      <c r="D708">
        <v>1</v>
      </c>
      <c r="E708">
        <v>0</v>
      </c>
      <c r="F708">
        <v>1</v>
      </c>
      <c r="G708">
        <v>0</v>
      </c>
      <c r="H708">
        <f t="shared" si="11"/>
        <v>2</v>
      </c>
    </row>
    <row r="709" spans="1:8">
      <c r="A709">
        <v>1762</v>
      </c>
      <c r="C709">
        <v>0</v>
      </c>
      <c r="D709">
        <v>1</v>
      </c>
      <c r="E709">
        <v>0</v>
      </c>
      <c r="F709">
        <v>1</v>
      </c>
      <c r="G709">
        <v>0</v>
      </c>
      <c r="H709">
        <f t="shared" si="11"/>
        <v>2</v>
      </c>
    </row>
    <row r="710" spans="1:8">
      <c r="A710">
        <v>1783</v>
      </c>
      <c r="C710">
        <v>0</v>
      </c>
      <c r="D710">
        <v>1</v>
      </c>
      <c r="E710">
        <v>0</v>
      </c>
      <c r="F710">
        <v>0</v>
      </c>
      <c r="G710">
        <v>1</v>
      </c>
      <c r="H710">
        <f t="shared" si="11"/>
        <v>2</v>
      </c>
    </row>
    <row r="711" spans="1:8">
      <c r="A711">
        <v>1810</v>
      </c>
      <c r="C711">
        <v>0</v>
      </c>
      <c r="D711">
        <v>1</v>
      </c>
      <c r="E711">
        <v>0</v>
      </c>
      <c r="F711">
        <v>1</v>
      </c>
      <c r="G711">
        <v>0</v>
      </c>
      <c r="H711">
        <f t="shared" si="11"/>
        <v>2</v>
      </c>
    </row>
    <row r="712" spans="1:8">
      <c r="A712">
        <v>1903</v>
      </c>
      <c r="C712">
        <v>0</v>
      </c>
      <c r="D712">
        <v>1</v>
      </c>
      <c r="E712">
        <v>0</v>
      </c>
      <c r="F712">
        <v>1</v>
      </c>
      <c r="G712">
        <v>0</v>
      </c>
      <c r="H712">
        <f t="shared" si="11"/>
        <v>2</v>
      </c>
    </row>
    <row r="713" spans="1:8">
      <c r="A713">
        <v>1907</v>
      </c>
      <c r="C713">
        <v>0</v>
      </c>
      <c r="D713">
        <v>1</v>
      </c>
      <c r="E713">
        <v>0</v>
      </c>
      <c r="F713">
        <v>1</v>
      </c>
      <c r="G713">
        <v>0</v>
      </c>
      <c r="H713">
        <f t="shared" si="11"/>
        <v>2</v>
      </c>
    </row>
    <row r="714" spans="1:8">
      <c r="A714">
        <v>1909</v>
      </c>
      <c r="C714">
        <v>0</v>
      </c>
      <c r="D714">
        <v>0</v>
      </c>
      <c r="E714">
        <v>1</v>
      </c>
      <c r="F714">
        <v>1</v>
      </c>
      <c r="G714">
        <v>0</v>
      </c>
      <c r="H714">
        <f t="shared" si="11"/>
        <v>2</v>
      </c>
    </row>
    <row r="715" spans="1:8">
      <c r="A715">
        <v>2024</v>
      </c>
      <c r="C715">
        <v>0</v>
      </c>
      <c r="D715">
        <v>1</v>
      </c>
      <c r="E715">
        <v>0</v>
      </c>
      <c r="F715">
        <v>1</v>
      </c>
      <c r="G715">
        <v>0</v>
      </c>
      <c r="H715">
        <f t="shared" si="11"/>
        <v>2</v>
      </c>
    </row>
    <row r="716" spans="1:8">
      <c r="A716">
        <v>2030</v>
      </c>
      <c r="C716">
        <v>0</v>
      </c>
      <c r="D716">
        <v>0</v>
      </c>
      <c r="E716">
        <v>1</v>
      </c>
      <c r="F716">
        <v>1</v>
      </c>
      <c r="G716">
        <v>0</v>
      </c>
      <c r="H716">
        <f t="shared" si="11"/>
        <v>2</v>
      </c>
    </row>
    <row r="717" spans="1:8">
      <c r="A717">
        <v>2034</v>
      </c>
      <c r="C717">
        <v>0</v>
      </c>
      <c r="D717">
        <v>1</v>
      </c>
      <c r="E717">
        <v>1</v>
      </c>
      <c r="F717">
        <v>0</v>
      </c>
      <c r="G717">
        <v>0</v>
      </c>
      <c r="H717">
        <f t="shared" si="11"/>
        <v>2</v>
      </c>
    </row>
    <row r="718" spans="1:8">
      <c r="A718">
        <v>2035</v>
      </c>
      <c r="C718">
        <v>0</v>
      </c>
      <c r="D718">
        <v>0</v>
      </c>
      <c r="E718">
        <v>1</v>
      </c>
      <c r="F718">
        <v>1</v>
      </c>
      <c r="G718">
        <v>0</v>
      </c>
      <c r="H718">
        <f t="shared" si="11"/>
        <v>2</v>
      </c>
    </row>
    <row r="719" spans="1:8">
      <c r="A719">
        <v>2038</v>
      </c>
      <c r="C719">
        <v>0</v>
      </c>
      <c r="D719">
        <v>0</v>
      </c>
      <c r="E719">
        <v>1</v>
      </c>
      <c r="F719">
        <v>1</v>
      </c>
      <c r="G719">
        <v>0</v>
      </c>
      <c r="H719">
        <f t="shared" si="11"/>
        <v>2</v>
      </c>
    </row>
    <row r="720" spans="1:8">
      <c r="A720">
        <v>2063</v>
      </c>
      <c r="C720">
        <v>0</v>
      </c>
      <c r="D720">
        <v>1</v>
      </c>
      <c r="E720">
        <v>0</v>
      </c>
      <c r="F720">
        <v>1</v>
      </c>
      <c r="G720">
        <v>0</v>
      </c>
      <c r="H720">
        <f t="shared" si="11"/>
        <v>2</v>
      </c>
    </row>
    <row r="721" spans="1:8">
      <c r="A721">
        <v>2064</v>
      </c>
      <c r="C721">
        <v>0</v>
      </c>
      <c r="D721">
        <v>1</v>
      </c>
      <c r="E721">
        <v>0</v>
      </c>
      <c r="F721">
        <v>1</v>
      </c>
      <c r="G721">
        <v>0</v>
      </c>
      <c r="H721">
        <f t="shared" si="11"/>
        <v>2</v>
      </c>
    </row>
    <row r="722" spans="1:8">
      <c r="A722">
        <v>2067</v>
      </c>
      <c r="C722">
        <v>0</v>
      </c>
      <c r="D722">
        <v>1</v>
      </c>
      <c r="E722">
        <v>0</v>
      </c>
      <c r="F722">
        <v>1</v>
      </c>
      <c r="G722">
        <v>0</v>
      </c>
      <c r="H722">
        <f t="shared" si="11"/>
        <v>2</v>
      </c>
    </row>
    <row r="723" spans="1:8">
      <c r="A723">
        <v>2101</v>
      </c>
      <c r="C723">
        <v>0</v>
      </c>
      <c r="D723">
        <v>1</v>
      </c>
      <c r="E723">
        <v>0</v>
      </c>
      <c r="F723">
        <v>1</v>
      </c>
      <c r="G723">
        <v>0</v>
      </c>
      <c r="H723">
        <f t="shared" si="11"/>
        <v>2</v>
      </c>
    </row>
    <row r="724" spans="1:8">
      <c r="A724">
        <v>2107</v>
      </c>
      <c r="C724">
        <v>0</v>
      </c>
      <c r="D724">
        <v>1</v>
      </c>
      <c r="E724">
        <v>0</v>
      </c>
      <c r="F724">
        <v>1</v>
      </c>
      <c r="G724">
        <v>0</v>
      </c>
      <c r="H724">
        <f t="shared" si="11"/>
        <v>2</v>
      </c>
    </row>
    <row r="725" spans="1:8">
      <c r="A725">
        <v>2206</v>
      </c>
      <c r="C725">
        <v>1</v>
      </c>
      <c r="D725">
        <v>1</v>
      </c>
      <c r="E725">
        <v>0</v>
      </c>
      <c r="F725">
        <v>0</v>
      </c>
      <c r="G725">
        <v>0</v>
      </c>
      <c r="H725">
        <f t="shared" si="11"/>
        <v>2</v>
      </c>
    </row>
    <row r="726" spans="1:8">
      <c r="A726">
        <v>2207</v>
      </c>
      <c r="C726">
        <v>0</v>
      </c>
      <c r="D726">
        <v>1</v>
      </c>
      <c r="E726">
        <v>0</v>
      </c>
      <c r="F726">
        <v>1</v>
      </c>
      <c r="G726">
        <v>0</v>
      </c>
      <c r="H726">
        <f t="shared" si="11"/>
        <v>2</v>
      </c>
    </row>
    <row r="727" spans="1:8">
      <c r="A727">
        <v>2302</v>
      </c>
      <c r="C727">
        <v>0</v>
      </c>
      <c r="D727">
        <v>1</v>
      </c>
      <c r="E727">
        <v>0</v>
      </c>
      <c r="F727">
        <v>1</v>
      </c>
      <c r="G727">
        <v>0</v>
      </c>
      <c r="H727">
        <f t="shared" si="11"/>
        <v>2</v>
      </c>
    </row>
    <row r="728" spans="1:8">
      <c r="A728">
        <v>2303</v>
      </c>
      <c r="C728">
        <v>0</v>
      </c>
      <c r="D728">
        <v>0</v>
      </c>
      <c r="E728">
        <v>0</v>
      </c>
      <c r="F728">
        <v>1</v>
      </c>
      <c r="G728">
        <v>1</v>
      </c>
      <c r="H728">
        <f t="shared" si="11"/>
        <v>2</v>
      </c>
    </row>
    <row r="729" spans="1:8">
      <c r="A729">
        <v>2311</v>
      </c>
      <c r="C729">
        <v>0</v>
      </c>
      <c r="D729">
        <v>1</v>
      </c>
      <c r="E729">
        <v>0</v>
      </c>
      <c r="F729">
        <v>1</v>
      </c>
      <c r="G729">
        <v>0</v>
      </c>
      <c r="H729">
        <f t="shared" si="11"/>
        <v>2</v>
      </c>
    </row>
    <row r="730" spans="1:8">
      <c r="A730">
        <v>2316</v>
      </c>
      <c r="C730">
        <v>0</v>
      </c>
      <c r="D730">
        <v>1</v>
      </c>
      <c r="E730">
        <v>0</v>
      </c>
      <c r="F730">
        <v>1</v>
      </c>
      <c r="G730">
        <v>0</v>
      </c>
      <c r="H730">
        <f t="shared" si="11"/>
        <v>2</v>
      </c>
    </row>
    <row r="731" spans="1:8">
      <c r="A731">
        <v>2321</v>
      </c>
      <c r="C731">
        <v>0</v>
      </c>
      <c r="D731">
        <v>1</v>
      </c>
      <c r="E731">
        <v>1</v>
      </c>
      <c r="F731">
        <v>0</v>
      </c>
      <c r="G731">
        <v>0</v>
      </c>
      <c r="H731">
        <f t="shared" si="11"/>
        <v>2</v>
      </c>
    </row>
    <row r="732" spans="1:8">
      <c r="A732">
        <v>2324</v>
      </c>
      <c r="C732">
        <v>0</v>
      </c>
      <c r="D732">
        <v>1</v>
      </c>
      <c r="E732">
        <v>1</v>
      </c>
      <c r="F732">
        <v>0</v>
      </c>
      <c r="G732">
        <v>0</v>
      </c>
      <c r="H732">
        <f t="shared" si="11"/>
        <v>2</v>
      </c>
    </row>
    <row r="733" spans="1:8">
      <c r="A733">
        <v>2328</v>
      </c>
      <c r="C733">
        <v>0</v>
      </c>
      <c r="D733">
        <v>1</v>
      </c>
      <c r="E733">
        <v>0</v>
      </c>
      <c r="F733">
        <v>0</v>
      </c>
      <c r="G733">
        <v>1</v>
      </c>
      <c r="H733">
        <f t="shared" si="11"/>
        <v>2</v>
      </c>
    </row>
    <row r="734" spans="1:8">
      <c r="A734">
        <v>2329</v>
      </c>
      <c r="C734">
        <v>0</v>
      </c>
      <c r="D734">
        <v>0</v>
      </c>
      <c r="E734">
        <v>0</v>
      </c>
      <c r="F734">
        <v>1</v>
      </c>
      <c r="G734">
        <v>1</v>
      </c>
      <c r="H734">
        <f t="shared" si="11"/>
        <v>2</v>
      </c>
    </row>
    <row r="735" spans="1:8">
      <c r="A735">
        <v>2330</v>
      </c>
      <c r="C735">
        <v>0</v>
      </c>
      <c r="D735">
        <v>0</v>
      </c>
      <c r="E735">
        <v>1</v>
      </c>
      <c r="F735">
        <v>1</v>
      </c>
      <c r="G735">
        <v>0</v>
      </c>
      <c r="H735">
        <f t="shared" si="11"/>
        <v>2</v>
      </c>
    </row>
    <row r="736" spans="1:8">
      <c r="A736">
        <v>2332</v>
      </c>
      <c r="C736">
        <v>0</v>
      </c>
      <c r="D736">
        <v>0</v>
      </c>
      <c r="E736">
        <v>2</v>
      </c>
      <c r="F736">
        <v>0</v>
      </c>
      <c r="G736">
        <v>0</v>
      </c>
      <c r="H736">
        <f t="shared" si="11"/>
        <v>2</v>
      </c>
    </row>
    <row r="737" spans="1:8">
      <c r="A737">
        <v>2348</v>
      </c>
      <c r="C737">
        <v>0</v>
      </c>
      <c r="D737">
        <v>1</v>
      </c>
      <c r="E737">
        <v>1</v>
      </c>
      <c r="F737">
        <v>0</v>
      </c>
      <c r="G737">
        <v>0</v>
      </c>
      <c r="H737">
        <f t="shared" si="11"/>
        <v>2</v>
      </c>
    </row>
    <row r="738" spans="1:8">
      <c r="A738">
        <v>2351</v>
      </c>
      <c r="C738">
        <v>0</v>
      </c>
      <c r="D738">
        <v>1</v>
      </c>
      <c r="E738">
        <v>0</v>
      </c>
      <c r="F738">
        <v>1</v>
      </c>
      <c r="G738">
        <v>0</v>
      </c>
      <c r="H738">
        <f t="shared" si="11"/>
        <v>2</v>
      </c>
    </row>
    <row r="739" spans="1:8">
      <c r="A739">
        <v>2358</v>
      </c>
      <c r="C739">
        <v>0</v>
      </c>
      <c r="D739">
        <v>0</v>
      </c>
      <c r="E739">
        <v>1</v>
      </c>
      <c r="F739">
        <v>1</v>
      </c>
      <c r="G739">
        <v>0</v>
      </c>
      <c r="H739">
        <f t="shared" si="11"/>
        <v>2</v>
      </c>
    </row>
    <row r="740" spans="1:8">
      <c r="A740">
        <v>2359</v>
      </c>
      <c r="C740">
        <v>0</v>
      </c>
      <c r="D740">
        <v>1</v>
      </c>
      <c r="E740">
        <v>0</v>
      </c>
      <c r="F740">
        <v>1</v>
      </c>
      <c r="G740">
        <v>0</v>
      </c>
      <c r="H740">
        <f t="shared" si="11"/>
        <v>2</v>
      </c>
    </row>
    <row r="741" spans="1:8">
      <c r="A741">
        <v>2363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2365</v>
      </c>
      <c r="C742">
        <v>0</v>
      </c>
      <c r="D742">
        <v>1</v>
      </c>
      <c r="E742">
        <v>0</v>
      </c>
      <c r="F742">
        <v>1</v>
      </c>
      <c r="G742">
        <v>0</v>
      </c>
      <c r="H742">
        <f t="shared" si="11"/>
        <v>2</v>
      </c>
    </row>
    <row r="743" spans="1:8">
      <c r="A743">
        <v>2368</v>
      </c>
      <c r="C743">
        <v>0</v>
      </c>
      <c r="D743">
        <v>1</v>
      </c>
      <c r="E743">
        <v>1</v>
      </c>
      <c r="F743">
        <v>0</v>
      </c>
      <c r="G743">
        <v>0</v>
      </c>
      <c r="H743">
        <f t="shared" si="11"/>
        <v>2</v>
      </c>
    </row>
    <row r="744" spans="1:8">
      <c r="A744">
        <v>2369</v>
      </c>
      <c r="C744">
        <v>0</v>
      </c>
      <c r="D744">
        <v>1</v>
      </c>
      <c r="E744">
        <v>0</v>
      </c>
      <c r="F744">
        <v>1</v>
      </c>
      <c r="G744">
        <v>0</v>
      </c>
      <c r="H744">
        <f t="shared" si="11"/>
        <v>2</v>
      </c>
    </row>
    <row r="745" spans="1:8">
      <c r="A745">
        <v>2371</v>
      </c>
      <c r="C745">
        <v>0</v>
      </c>
      <c r="D745">
        <v>0</v>
      </c>
      <c r="E745">
        <v>2</v>
      </c>
      <c r="F745">
        <v>0</v>
      </c>
      <c r="G745">
        <v>0</v>
      </c>
      <c r="H745">
        <f t="shared" si="11"/>
        <v>2</v>
      </c>
    </row>
    <row r="746" spans="1:8">
      <c r="A746">
        <v>2374</v>
      </c>
      <c r="C746">
        <v>1</v>
      </c>
      <c r="D746">
        <v>1</v>
      </c>
      <c r="E746">
        <v>0</v>
      </c>
      <c r="F746">
        <v>0</v>
      </c>
      <c r="G746">
        <v>0</v>
      </c>
      <c r="H746">
        <f t="shared" si="11"/>
        <v>2</v>
      </c>
    </row>
    <row r="747" spans="1:8">
      <c r="A747">
        <v>2379</v>
      </c>
      <c r="C747">
        <v>0</v>
      </c>
      <c r="D747">
        <v>1</v>
      </c>
      <c r="E747">
        <v>1</v>
      </c>
      <c r="F747">
        <v>0</v>
      </c>
      <c r="G747">
        <v>0</v>
      </c>
      <c r="H747">
        <f t="shared" si="11"/>
        <v>2</v>
      </c>
    </row>
    <row r="748" spans="1:8">
      <c r="A748">
        <v>2380</v>
      </c>
      <c r="C748">
        <v>0</v>
      </c>
      <c r="D748">
        <v>1</v>
      </c>
      <c r="E748">
        <v>0</v>
      </c>
      <c r="F748">
        <v>1</v>
      </c>
      <c r="G748">
        <v>0</v>
      </c>
      <c r="H748">
        <f t="shared" si="11"/>
        <v>2</v>
      </c>
    </row>
    <row r="749" spans="1:8">
      <c r="A749">
        <v>2382</v>
      </c>
      <c r="C749">
        <v>0</v>
      </c>
      <c r="D749">
        <v>1</v>
      </c>
      <c r="E749">
        <v>0</v>
      </c>
      <c r="F749">
        <v>1</v>
      </c>
      <c r="G749">
        <v>0</v>
      </c>
      <c r="H749">
        <f t="shared" si="11"/>
        <v>2</v>
      </c>
    </row>
    <row r="750" spans="1:8">
      <c r="A750">
        <v>2393</v>
      </c>
      <c r="C750">
        <v>0</v>
      </c>
      <c r="D750">
        <v>1</v>
      </c>
      <c r="E750">
        <v>0</v>
      </c>
      <c r="F750">
        <v>1</v>
      </c>
      <c r="G750">
        <v>0</v>
      </c>
      <c r="H750">
        <f t="shared" si="11"/>
        <v>2</v>
      </c>
    </row>
    <row r="751" spans="1:8">
      <c r="A751">
        <v>2402</v>
      </c>
      <c r="C751">
        <v>0</v>
      </c>
      <c r="D751">
        <v>1</v>
      </c>
      <c r="E751">
        <v>0</v>
      </c>
      <c r="F751">
        <v>1</v>
      </c>
      <c r="G751">
        <v>0</v>
      </c>
      <c r="H751">
        <f t="shared" si="11"/>
        <v>2</v>
      </c>
    </row>
    <row r="752" spans="1:8">
      <c r="A752">
        <v>2408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2423</v>
      </c>
      <c r="C753">
        <v>0</v>
      </c>
      <c r="D753">
        <v>1</v>
      </c>
      <c r="E753">
        <v>0</v>
      </c>
      <c r="F753">
        <v>1</v>
      </c>
      <c r="G753">
        <v>0</v>
      </c>
      <c r="H753">
        <f t="shared" si="11"/>
        <v>2</v>
      </c>
    </row>
    <row r="754" spans="1:8">
      <c r="A754">
        <v>2425</v>
      </c>
      <c r="C754">
        <v>0</v>
      </c>
      <c r="D754">
        <v>1</v>
      </c>
      <c r="E754">
        <v>0</v>
      </c>
      <c r="F754">
        <v>1</v>
      </c>
      <c r="G754">
        <v>0</v>
      </c>
      <c r="H754">
        <f t="shared" si="11"/>
        <v>2</v>
      </c>
    </row>
    <row r="755" spans="1:8">
      <c r="A755">
        <v>2426</v>
      </c>
      <c r="C755">
        <v>0</v>
      </c>
      <c r="D755">
        <v>1</v>
      </c>
      <c r="E755">
        <v>0</v>
      </c>
      <c r="F755">
        <v>1</v>
      </c>
      <c r="G755">
        <v>0</v>
      </c>
      <c r="H755">
        <f t="shared" si="11"/>
        <v>2</v>
      </c>
    </row>
    <row r="756" spans="1:8">
      <c r="A756">
        <v>2430</v>
      </c>
      <c r="C756">
        <v>1</v>
      </c>
      <c r="D756">
        <v>1</v>
      </c>
      <c r="E756">
        <v>0</v>
      </c>
      <c r="F756">
        <v>0</v>
      </c>
      <c r="G756">
        <v>0</v>
      </c>
      <c r="H756">
        <f t="shared" si="11"/>
        <v>2</v>
      </c>
    </row>
    <row r="757" spans="1:8">
      <c r="A757">
        <v>2438</v>
      </c>
      <c r="C757">
        <v>0</v>
      </c>
      <c r="D757">
        <v>1</v>
      </c>
      <c r="E757">
        <v>1</v>
      </c>
      <c r="F757">
        <v>0</v>
      </c>
      <c r="G757">
        <v>0</v>
      </c>
      <c r="H757">
        <f t="shared" si="11"/>
        <v>2</v>
      </c>
    </row>
    <row r="758" spans="1:8">
      <c r="A758">
        <v>2439</v>
      </c>
      <c r="C758">
        <v>0</v>
      </c>
      <c r="D758">
        <v>1</v>
      </c>
      <c r="E758">
        <v>0</v>
      </c>
      <c r="F758">
        <v>1</v>
      </c>
      <c r="G758">
        <v>0</v>
      </c>
      <c r="H758">
        <f t="shared" si="11"/>
        <v>2</v>
      </c>
    </row>
    <row r="759" spans="1:8">
      <c r="A759">
        <v>2441</v>
      </c>
      <c r="C759">
        <v>0</v>
      </c>
      <c r="D759">
        <v>1</v>
      </c>
      <c r="E759">
        <v>0</v>
      </c>
      <c r="F759">
        <v>1</v>
      </c>
      <c r="G759">
        <v>0</v>
      </c>
      <c r="H759">
        <f t="shared" si="11"/>
        <v>2</v>
      </c>
    </row>
    <row r="760" spans="1:8">
      <c r="A760">
        <v>2443</v>
      </c>
      <c r="C760">
        <v>0</v>
      </c>
      <c r="D760">
        <v>0</v>
      </c>
      <c r="E760">
        <v>1</v>
      </c>
      <c r="F760">
        <v>0</v>
      </c>
      <c r="G760">
        <v>1</v>
      </c>
      <c r="H760">
        <f t="shared" si="11"/>
        <v>2</v>
      </c>
    </row>
    <row r="761" spans="1:8">
      <c r="A761">
        <v>2455</v>
      </c>
      <c r="C761">
        <v>0</v>
      </c>
      <c r="D761">
        <v>1</v>
      </c>
      <c r="E761">
        <v>0</v>
      </c>
      <c r="F761">
        <v>1</v>
      </c>
      <c r="G761">
        <v>0</v>
      </c>
      <c r="H761">
        <f t="shared" si="11"/>
        <v>2</v>
      </c>
    </row>
    <row r="762" spans="1:8">
      <c r="A762">
        <v>2457</v>
      </c>
      <c r="C762">
        <v>0</v>
      </c>
      <c r="D762">
        <v>1</v>
      </c>
      <c r="E762">
        <v>0</v>
      </c>
      <c r="F762">
        <v>1</v>
      </c>
      <c r="G762">
        <v>0</v>
      </c>
      <c r="H762">
        <f t="shared" si="11"/>
        <v>2</v>
      </c>
    </row>
    <row r="763" spans="1:8">
      <c r="A763">
        <v>2458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2462</v>
      </c>
      <c r="C764">
        <v>1</v>
      </c>
      <c r="D764">
        <v>1</v>
      </c>
      <c r="E764">
        <v>0</v>
      </c>
      <c r="F764">
        <v>0</v>
      </c>
      <c r="G764">
        <v>0</v>
      </c>
      <c r="H764">
        <f t="shared" si="11"/>
        <v>2</v>
      </c>
    </row>
    <row r="765" spans="1:8">
      <c r="A765">
        <v>2465</v>
      </c>
      <c r="C765">
        <v>0</v>
      </c>
      <c r="D765">
        <v>1</v>
      </c>
      <c r="E765">
        <v>0</v>
      </c>
      <c r="F765">
        <v>0</v>
      </c>
      <c r="G765">
        <v>1</v>
      </c>
      <c r="H765">
        <f t="shared" si="11"/>
        <v>2</v>
      </c>
    </row>
    <row r="766" spans="1:8">
      <c r="A766">
        <v>2468</v>
      </c>
      <c r="C766">
        <v>0</v>
      </c>
      <c r="D766">
        <v>1</v>
      </c>
      <c r="E766">
        <v>1</v>
      </c>
      <c r="F766">
        <v>0</v>
      </c>
      <c r="G766">
        <v>0</v>
      </c>
      <c r="H766">
        <f t="shared" si="11"/>
        <v>2</v>
      </c>
    </row>
    <row r="767" spans="1:8">
      <c r="A767">
        <v>2475</v>
      </c>
      <c r="C767">
        <v>0</v>
      </c>
      <c r="D767">
        <v>0</v>
      </c>
      <c r="E767">
        <v>2</v>
      </c>
      <c r="F767">
        <v>0</v>
      </c>
      <c r="G767">
        <v>0</v>
      </c>
      <c r="H767">
        <f t="shared" si="11"/>
        <v>2</v>
      </c>
    </row>
    <row r="768" spans="1:8">
      <c r="A768">
        <v>2478</v>
      </c>
      <c r="C768">
        <v>1</v>
      </c>
      <c r="D768">
        <v>1</v>
      </c>
      <c r="E768">
        <v>0</v>
      </c>
      <c r="F768">
        <v>0</v>
      </c>
      <c r="G768">
        <v>0</v>
      </c>
      <c r="H768">
        <f t="shared" si="11"/>
        <v>2</v>
      </c>
    </row>
    <row r="769" spans="1:8">
      <c r="A769">
        <v>2481</v>
      </c>
      <c r="C769">
        <v>1</v>
      </c>
      <c r="D769">
        <v>1</v>
      </c>
      <c r="E769">
        <v>0</v>
      </c>
      <c r="F769">
        <v>0</v>
      </c>
      <c r="G769">
        <v>0</v>
      </c>
      <c r="H769">
        <f t="shared" si="11"/>
        <v>2</v>
      </c>
    </row>
    <row r="770" spans="1:8">
      <c r="A770">
        <v>2483</v>
      </c>
      <c r="C770">
        <v>0</v>
      </c>
      <c r="D770">
        <v>1</v>
      </c>
      <c r="E770">
        <v>1</v>
      </c>
      <c r="F770">
        <v>0</v>
      </c>
      <c r="G770">
        <v>0</v>
      </c>
      <c r="H770">
        <f t="shared" ref="H770:H833" si="12">SUM(C770:G770)</f>
        <v>2</v>
      </c>
    </row>
    <row r="771" spans="1:8">
      <c r="A771">
        <v>2486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si="12"/>
        <v>2</v>
      </c>
    </row>
    <row r="772" spans="1:8">
      <c r="A772">
        <v>2489</v>
      </c>
      <c r="C772">
        <v>0</v>
      </c>
      <c r="D772">
        <v>1</v>
      </c>
      <c r="E772">
        <v>1</v>
      </c>
      <c r="F772">
        <v>0</v>
      </c>
      <c r="G772">
        <v>0</v>
      </c>
      <c r="H772">
        <f t="shared" si="12"/>
        <v>2</v>
      </c>
    </row>
    <row r="773" spans="1:8">
      <c r="A773">
        <v>2496</v>
      </c>
      <c r="C773">
        <v>0</v>
      </c>
      <c r="D773">
        <v>1</v>
      </c>
      <c r="E773">
        <v>1</v>
      </c>
      <c r="F773">
        <v>0</v>
      </c>
      <c r="G773">
        <v>0</v>
      </c>
      <c r="H773">
        <f t="shared" si="12"/>
        <v>2</v>
      </c>
    </row>
    <row r="774" spans="1:8">
      <c r="A774">
        <v>2524</v>
      </c>
      <c r="C774">
        <v>0</v>
      </c>
      <c r="D774">
        <v>1</v>
      </c>
      <c r="E774">
        <v>1</v>
      </c>
      <c r="F774">
        <v>0</v>
      </c>
      <c r="G774">
        <v>0</v>
      </c>
      <c r="H774">
        <f t="shared" si="12"/>
        <v>2</v>
      </c>
    </row>
    <row r="775" spans="1:8">
      <c r="A775">
        <v>2538</v>
      </c>
      <c r="C775">
        <v>0</v>
      </c>
      <c r="D775">
        <v>1</v>
      </c>
      <c r="E775">
        <v>0</v>
      </c>
      <c r="F775">
        <v>0</v>
      </c>
      <c r="G775">
        <v>1</v>
      </c>
      <c r="H775">
        <f t="shared" si="12"/>
        <v>2</v>
      </c>
    </row>
    <row r="776" spans="1:8">
      <c r="A776">
        <v>2597</v>
      </c>
      <c r="C776">
        <v>0</v>
      </c>
      <c r="D776">
        <v>1</v>
      </c>
      <c r="E776">
        <v>0</v>
      </c>
      <c r="F776">
        <v>1</v>
      </c>
      <c r="G776">
        <v>0</v>
      </c>
      <c r="H776">
        <f t="shared" si="12"/>
        <v>2</v>
      </c>
    </row>
    <row r="777" spans="1:8">
      <c r="A777">
        <v>2607</v>
      </c>
      <c r="C777">
        <v>0</v>
      </c>
      <c r="D777">
        <v>0</v>
      </c>
      <c r="E777">
        <v>1</v>
      </c>
      <c r="F777">
        <v>1</v>
      </c>
      <c r="G777">
        <v>0</v>
      </c>
      <c r="H777">
        <f t="shared" si="12"/>
        <v>2</v>
      </c>
    </row>
    <row r="778" spans="1:8">
      <c r="A778">
        <v>2611</v>
      </c>
      <c r="C778">
        <v>0</v>
      </c>
      <c r="D778">
        <v>1</v>
      </c>
      <c r="E778">
        <v>0</v>
      </c>
      <c r="F778">
        <v>1</v>
      </c>
      <c r="G778">
        <v>0</v>
      </c>
      <c r="H778">
        <f t="shared" si="12"/>
        <v>2</v>
      </c>
    </row>
    <row r="779" spans="1:8">
      <c r="A779">
        <v>2615</v>
      </c>
      <c r="C779">
        <v>0</v>
      </c>
      <c r="D779">
        <v>1</v>
      </c>
      <c r="E779">
        <v>0</v>
      </c>
      <c r="F779">
        <v>1</v>
      </c>
      <c r="G779">
        <v>0</v>
      </c>
      <c r="H779">
        <f t="shared" si="12"/>
        <v>2</v>
      </c>
    </row>
    <row r="780" spans="1:8">
      <c r="A780">
        <v>2636</v>
      </c>
      <c r="C780">
        <v>0</v>
      </c>
      <c r="D780">
        <v>0</v>
      </c>
      <c r="E780">
        <v>1</v>
      </c>
      <c r="F780">
        <v>1</v>
      </c>
      <c r="G780">
        <v>0</v>
      </c>
      <c r="H780">
        <f t="shared" si="12"/>
        <v>2</v>
      </c>
    </row>
    <row r="781" spans="1:8">
      <c r="A781">
        <v>2641</v>
      </c>
      <c r="C781">
        <v>0</v>
      </c>
      <c r="D781">
        <v>0</v>
      </c>
      <c r="E781">
        <v>1</v>
      </c>
      <c r="F781">
        <v>1</v>
      </c>
      <c r="G781">
        <v>0</v>
      </c>
      <c r="H781">
        <f t="shared" si="12"/>
        <v>2</v>
      </c>
    </row>
    <row r="782" spans="1:8">
      <c r="A782">
        <v>2704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2705</v>
      </c>
      <c r="C783">
        <v>0</v>
      </c>
      <c r="D783">
        <v>1</v>
      </c>
      <c r="E783">
        <v>0</v>
      </c>
      <c r="F783">
        <v>1</v>
      </c>
      <c r="G783">
        <v>0</v>
      </c>
      <c r="H783">
        <f t="shared" si="12"/>
        <v>2</v>
      </c>
    </row>
    <row r="784" spans="1:8">
      <c r="A784">
        <v>2712</v>
      </c>
      <c r="C784">
        <v>0</v>
      </c>
      <c r="D784">
        <v>1</v>
      </c>
      <c r="E784">
        <v>0</v>
      </c>
      <c r="F784">
        <v>1</v>
      </c>
      <c r="G784">
        <v>0</v>
      </c>
      <c r="H784">
        <f t="shared" si="12"/>
        <v>2</v>
      </c>
    </row>
    <row r="785" spans="1:8">
      <c r="A785">
        <v>2729</v>
      </c>
      <c r="C785">
        <v>0</v>
      </c>
      <c r="D785">
        <v>0</v>
      </c>
      <c r="E785">
        <v>1</v>
      </c>
      <c r="F785">
        <v>1</v>
      </c>
      <c r="G785">
        <v>0</v>
      </c>
      <c r="H785">
        <f t="shared" si="12"/>
        <v>2</v>
      </c>
    </row>
    <row r="786" spans="1:8">
      <c r="A786">
        <v>2903</v>
      </c>
      <c r="C786">
        <v>1</v>
      </c>
      <c r="D786">
        <v>1</v>
      </c>
      <c r="E786">
        <v>0</v>
      </c>
      <c r="F786">
        <v>0</v>
      </c>
      <c r="G786">
        <v>0</v>
      </c>
      <c r="H786">
        <f t="shared" si="12"/>
        <v>2</v>
      </c>
    </row>
    <row r="787" spans="1:8">
      <c r="A787">
        <v>2906</v>
      </c>
      <c r="C787">
        <v>0</v>
      </c>
      <c r="D787">
        <v>0</v>
      </c>
      <c r="E787">
        <v>2</v>
      </c>
      <c r="F787">
        <v>0</v>
      </c>
      <c r="G787">
        <v>0</v>
      </c>
      <c r="H787">
        <f t="shared" si="12"/>
        <v>2</v>
      </c>
    </row>
    <row r="788" spans="1:8">
      <c r="A788">
        <v>2912</v>
      </c>
      <c r="C788">
        <v>0</v>
      </c>
      <c r="D788">
        <v>1</v>
      </c>
      <c r="E788">
        <v>0</v>
      </c>
      <c r="F788">
        <v>1</v>
      </c>
      <c r="G788">
        <v>0</v>
      </c>
      <c r="H788">
        <f t="shared" si="12"/>
        <v>2</v>
      </c>
    </row>
    <row r="789" spans="1:8">
      <c r="A789">
        <v>2926</v>
      </c>
      <c r="C789">
        <v>0</v>
      </c>
      <c r="D789">
        <v>1</v>
      </c>
      <c r="E789">
        <v>0</v>
      </c>
      <c r="F789">
        <v>1</v>
      </c>
      <c r="G789">
        <v>0</v>
      </c>
      <c r="H789">
        <f t="shared" si="12"/>
        <v>2</v>
      </c>
    </row>
    <row r="790" spans="1:8">
      <c r="A790">
        <v>3003</v>
      </c>
      <c r="C790">
        <v>1</v>
      </c>
      <c r="D790">
        <v>1</v>
      </c>
      <c r="E790">
        <v>0</v>
      </c>
      <c r="F790">
        <v>0</v>
      </c>
      <c r="G790">
        <v>0</v>
      </c>
      <c r="H790">
        <f t="shared" si="12"/>
        <v>2</v>
      </c>
    </row>
    <row r="791" spans="1:8">
      <c r="A791">
        <v>3005</v>
      </c>
      <c r="C791">
        <v>0</v>
      </c>
      <c r="D791">
        <v>1</v>
      </c>
      <c r="E791">
        <v>0</v>
      </c>
      <c r="F791">
        <v>1</v>
      </c>
      <c r="G791">
        <v>0</v>
      </c>
      <c r="H791">
        <f t="shared" si="12"/>
        <v>2</v>
      </c>
    </row>
    <row r="792" spans="1:8">
      <c r="A792">
        <v>3006</v>
      </c>
      <c r="C792">
        <v>0</v>
      </c>
      <c r="D792">
        <v>1</v>
      </c>
      <c r="E792">
        <v>0</v>
      </c>
      <c r="F792">
        <v>1</v>
      </c>
      <c r="G792">
        <v>0</v>
      </c>
      <c r="H792">
        <f t="shared" si="12"/>
        <v>2</v>
      </c>
    </row>
    <row r="793" spans="1:8">
      <c r="A793">
        <v>3013</v>
      </c>
      <c r="C793">
        <v>0</v>
      </c>
      <c r="D793">
        <v>1</v>
      </c>
      <c r="E793">
        <v>0</v>
      </c>
      <c r="F793">
        <v>1</v>
      </c>
      <c r="G793">
        <v>0</v>
      </c>
      <c r="H793">
        <f t="shared" si="12"/>
        <v>2</v>
      </c>
    </row>
    <row r="794" spans="1:8">
      <c r="A794">
        <v>3016</v>
      </c>
      <c r="C794">
        <v>1</v>
      </c>
      <c r="D794">
        <v>1</v>
      </c>
      <c r="E794">
        <v>0</v>
      </c>
      <c r="F794">
        <v>0</v>
      </c>
      <c r="G794">
        <v>0</v>
      </c>
      <c r="H794">
        <f t="shared" si="12"/>
        <v>2</v>
      </c>
    </row>
    <row r="795" spans="1:8">
      <c r="A795">
        <v>3022</v>
      </c>
      <c r="C795">
        <v>0</v>
      </c>
      <c r="D795">
        <v>1</v>
      </c>
      <c r="E795">
        <v>0</v>
      </c>
      <c r="F795">
        <v>1</v>
      </c>
      <c r="G795">
        <v>0</v>
      </c>
      <c r="H795">
        <f t="shared" si="12"/>
        <v>2</v>
      </c>
    </row>
    <row r="796" spans="1:8">
      <c r="A796">
        <v>3027</v>
      </c>
      <c r="C796">
        <v>0</v>
      </c>
      <c r="D796">
        <v>0</v>
      </c>
      <c r="E796">
        <v>2</v>
      </c>
      <c r="F796">
        <v>0</v>
      </c>
      <c r="G796">
        <v>0</v>
      </c>
      <c r="H796">
        <f t="shared" si="12"/>
        <v>2</v>
      </c>
    </row>
    <row r="797" spans="1:8">
      <c r="A797">
        <v>3029</v>
      </c>
      <c r="C797">
        <v>0</v>
      </c>
      <c r="D797">
        <v>1</v>
      </c>
      <c r="E797">
        <v>1</v>
      </c>
      <c r="F797">
        <v>0</v>
      </c>
      <c r="G797">
        <v>0</v>
      </c>
      <c r="H797">
        <f t="shared" si="12"/>
        <v>2</v>
      </c>
    </row>
    <row r="798" spans="1:8">
      <c r="A798">
        <v>3040</v>
      </c>
      <c r="C798">
        <v>0</v>
      </c>
      <c r="D798">
        <v>1</v>
      </c>
      <c r="E798">
        <v>1</v>
      </c>
      <c r="F798">
        <v>0</v>
      </c>
      <c r="G798">
        <v>0</v>
      </c>
      <c r="H798">
        <f t="shared" si="12"/>
        <v>2</v>
      </c>
    </row>
    <row r="799" spans="1:8">
      <c r="A799">
        <v>3041</v>
      </c>
      <c r="C799">
        <v>0</v>
      </c>
      <c r="D799">
        <v>1</v>
      </c>
      <c r="E799">
        <v>0</v>
      </c>
      <c r="F799">
        <v>1</v>
      </c>
      <c r="G799">
        <v>0</v>
      </c>
      <c r="H799">
        <f t="shared" si="12"/>
        <v>2</v>
      </c>
    </row>
    <row r="800" spans="1:8">
      <c r="A800">
        <v>3043</v>
      </c>
      <c r="C800">
        <v>0</v>
      </c>
      <c r="D800">
        <v>1</v>
      </c>
      <c r="E800">
        <v>1</v>
      </c>
      <c r="F800">
        <v>0</v>
      </c>
      <c r="G800">
        <v>0</v>
      </c>
      <c r="H800">
        <f t="shared" si="12"/>
        <v>2</v>
      </c>
    </row>
    <row r="801" spans="1:8">
      <c r="A801">
        <v>3048</v>
      </c>
      <c r="C801">
        <v>0</v>
      </c>
      <c r="D801">
        <v>1</v>
      </c>
      <c r="E801">
        <v>1</v>
      </c>
      <c r="F801">
        <v>0</v>
      </c>
      <c r="G801">
        <v>0</v>
      </c>
      <c r="H801">
        <f t="shared" si="12"/>
        <v>2</v>
      </c>
    </row>
    <row r="802" spans="1:8">
      <c r="A802">
        <v>3050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3051</v>
      </c>
      <c r="C803">
        <v>0</v>
      </c>
      <c r="D803">
        <v>1</v>
      </c>
      <c r="E803">
        <v>0</v>
      </c>
      <c r="F803">
        <v>1</v>
      </c>
      <c r="G803">
        <v>0</v>
      </c>
      <c r="H803">
        <f t="shared" si="12"/>
        <v>2</v>
      </c>
    </row>
    <row r="804" spans="1:8">
      <c r="A804">
        <v>3052</v>
      </c>
      <c r="C804">
        <v>0</v>
      </c>
      <c r="D804">
        <v>1</v>
      </c>
      <c r="E804">
        <v>1</v>
      </c>
      <c r="F804">
        <v>0</v>
      </c>
      <c r="G804">
        <v>0</v>
      </c>
      <c r="H804">
        <f t="shared" si="12"/>
        <v>2</v>
      </c>
    </row>
    <row r="805" spans="1:8">
      <c r="A805">
        <v>3057</v>
      </c>
      <c r="C805">
        <v>0</v>
      </c>
      <c r="D805">
        <v>1</v>
      </c>
      <c r="E805">
        <v>0</v>
      </c>
      <c r="F805">
        <v>1</v>
      </c>
      <c r="G805">
        <v>0</v>
      </c>
      <c r="H805">
        <f t="shared" si="12"/>
        <v>2</v>
      </c>
    </row>
    <row r="806" spans="1:8">
      <c r="A806">
        <v>3062</v>
      </c>
      <c r="C806">
        <v>0</v>
      </c>
      <c r="D806">
        <v>1</v>
      </c>
      <c r="E806">
        <v>0</v>
      </c>
      <c r="F806">
        <v>1</v>
      </c>
      <c r="G806">
        <v>0</v>
      </c>
      <c r="H806">
        <f t="shared" si="12"/>
        <v>2</v>
      </c>
    </row>
    <row r="807" spans="1:8">
      <c r="A807">
        <v>3064</v>
      </c>
      <c r="C807">
        <v>0</v>
      </c>
      <c r="D807">
        <v>1</v>
      </c>
      <c r="E807">
        <v>1</v>
      </c>
      <c r="F807">
        <v>0</v>
      </c>
      <c r="G807">
        <v>0</v>
      </c>
      <c r="H807">
        <f t="shared" si="12"/>
        <v>2</v>
      </c>
    </row>
    <row r="808" spans="1:8">
      <c r="A808">
        <v>3083</v>
      </c>
      <c r="C808">
        <v>0</v>
      </c>
      <c r="D808">
        <v>0</v>
      </c>
      <c r="E808">
        <v>1</v>
      </c>
      <c r="F808">
        <v>1</v>
      </c>
      <c r="G808">
        <v>0</v>
      </c>
      <c r="H808">
        <f t="shared" si="12"/>
        <v>2</v>
      </c>
    </row>
    <row r="809" spans="1:8">
      <c r="A809">
        <v>3090</v>
      </c>
      <c r="C809">
        <v>0</v>
      </c>
      <c r="D809">
        <v>1</v>
      </c>
      <c r="E809">
        <v>0</v>
      </c>
      <c r="F809">
        <v>1</v>
      </c>
      <c r="G809">
        <v>0</v>
      </c>
      <c r="H809">
        <f t="shared" si="12"/>
        <v>2</v>
      </c>
    </row>
    <row r="810" spans="1:8">
      <c r="A810">
        <v>3092</v>
      </c>
      <c r="C810">
        <v>1</v>
      </c>
      <c r="D810">
        <v>1</v>
      </c>
      <c r="E810">
        <v>0</v>
      </c>
      <c r="F810">
        <v>0</v>
      </c>
      <c r="G810">
        <v>0</v>
      </c>
      <c r="H810">
        <f t="shared" si="12"/>
        <v>2</v>
      </c>
    </row>
    <row r="811" spans="1:8">
      <c r="A811">
        <v>3095</v>
      </c>
      <c r="C811">
        <v>0</v>
      </c>
      <c r="D811">
        <v>0</v>
      </c>
      <c r="E811">
        <v>2</v>
      </c>
      <c r="F811">
        <v>0</v>
      </c>
      <c r="G811">
        <v>0</v>
      </c>
      <c r="H811">
        <f t="shared" si="12"/>
        <v>2</v>
      </c>
    </row>
    <row r="812" spans="1:8">
      <c r="A812">
        <v>3128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3130</v>
      </c>
      <c r="C813">
        <v>0</v>
      </c>
      <c r="D813">
        <v>0</v>
      </c>
      <c r="E813">
        <v>1</v>
      </c>
      <c r="F813">
        <v>0</v>
      </c>
      <c r="G813">
        <v>1</v>
      </c>
      <c r="H813">
        <f t="shared" si="12"/>
        <v>2</v>
      </c>
    </row>
    <row r="814" spans="1:8">
      <c r="A814">
        <v>3141</v>
      </c>
      <c r="C814">
        <v>0</v>
      </c>
      <c r="D814">
        <v>1</v>
      </c>
      <c r="E814">
        <v>0</v>
      </c>
      <c r="F814">
        <v>1</v>
      </c>
      <c r="G814">
        <v>0</v>
      </c>
      <c r="H814">
        <f t="shared" si="12"/>
        <v>2</v>
      </c>
    </row>
    <row r="815" spans="1:8">
      <c r="A815">
        <v>3144</v>
      </c>
      <c r="C815">
        <v>0</v>
      </c>
      <c r="D815">
        <v>1</v>
      </c>
      <c r="E815">
        <v>0</v>
      </c>
      <c r="F815">
        <v>1</v>
      </c>
      <c r="G815">
        <v>0</v>
      </c>
      <c r="H815">
        <f t="shared" si="12"/>
        <v>2</v>
      </c>
    </row>
    <row r="816" spans="1:8">
      <c r="A816">
        <v>3162</v>
      </c>
      <c r="C816">
        <v>1</v>
      </c>
      <c r="D816">
        <v>1</v>
      </c>
      <c r="E816">
        <v>0</v>
      </c>
      <c r="F816">
        <v>0</v>
      </c>
      <c r="G816">
        <v>0</v>
      </c>
      <c r="H816">
        <f t="shared" si="12"/>
        <v>2</v>
      </c>
    </row>
    <row r="817" spans="1:8">
      <c r="A817">
        <v>3176</v>
      </c>
      <c r="C817">
        <v>0</v>
      </c>
      <c r="D817">
        <v>1</v>
      </c>
      <c r="E817">
        <v>0</v>
      </c>
      <c r="F817">
        <v>1</v>
      </c>
      <c r="G817">
        <v>0</v>
      </c>
      <c r="H817">
        <f t="shared" si="12"/>
        <v>2</v>
      </c>
    </row>
    <row r="818" spans="1:8">
      <c r="A818">
        <v>3189</v>
      </c>
      <c r="C818">
        <v>0</v>
      </c>
      <c r="D818">
        <v>1</v>
      </c>
      <c r="E818">
        <v>0</v>
      </c>
      <c r="F818">
        <v>1</v>
      </c>
      <c r="G818">
        <v>0</v>
      </c>
      <c r="H818">
        <f t="shared" si="12"/>
        <v>2</v>
      </c>
    </row>
    <row r="819" spans="1:8">
      <c r="A819">
        <v>3202</v>
      </c>
      <c r="C819">
        <v>0</v>
      </c>
      <c r="D819">
        <v>1</v>
      </c>
      <c r="E819">
        <v>1</v>
      </c>
      <c r="F819">
        <v>0</v>
      </c>
      <c r="G819">
        <v>0</v>
      </c>
      <c r="H819">
        <f t="shared" si="12"/>
        <v>2</v>
      </c>
    </row>
    <row r="820" spans="1:8">
      <c r="A820">
        <v>3209</v>
      </c>
      <c r="C820">
        <v>0</v>
      </c>
      <c r="D820">
        <v>1</v>
      </c>
      <c r="E820">
        <v>1</v>
      </c>
      <c r="F820">
        <v>0</v>
      </c>
      <c r="G820">
        <v>0</v>
      </c>
      <c r="H820">
        <f t="shared" si="12"/>
        <v>2</v>
      </c>
    </row>
    <row r="821" spans="1:8">
      <c r="A821">
        <v>3211</v>
      </c>
      <c r="C821">
        <v>0</v>
      </c>
      <c r="D821">
        <v>1</v>
      </c>
      <c r="E821">
        <v>0</v>
      </c>
      <c r="F821">
        <v>1</v>
      </c>
      <c r="G821">
        <v>0</v>
      </c>
      <c r="H821">
        <f t="shared" si="12"/>
        <v>2</v>
      </c>
    </row>
    <row r="822" spans="1:8">
      <c r="A822">
        <v>3213</v>
      </c>
      <c r="C822">
        <v>0</v>
      </c>
      <c r="D822">
        <v>1</v>
      </c>
      <c r="E822">
        <v>0</v>
      </c>
      <c r="F822">
        <v>1</v>
      </c>
      <c r="G822">
        <v>0</v>
      </c>
      <c r="H822">
        <f t="shared" si="12"/>
        <v>2</v>
      </c>
    </row>
    <row r="823" spans="1:8">
      <c r="A823">
        <v>3224</v>
      </c>
      <c r="C823">
        <v>0</v>
      </c>
      <c r="D823">
        <v>1</v>
      </c>
      <c r="E823">
        <v>0</v>
      </c>
      <c r="F823">
        <v>0</v>
      </c>
      <c r="G823">
        <v>1</v>
      </c>
      <c r="H823">
        <f t="shared" si="12"/>
        <v>2</v>
      </c>
    </row>
    <row r="824" spans="1:8">
      <c r="A824">
        <v>3257</v>
      </c>
      <c r="C824">
        <v>0</v>
      </c>
      <c r="D824">
        <v>1</v>
      </c>
      <c r="E824">
        <v>0</v>
      </c>
      <c r="F824">
        <v>1</v>
      </c>
      <c r="G824">
        <v>0</v>
      </c>
      <c r="H824">
        <f t="shared" si="12"/>
        <v>2</v>
      </c>
    </row>
    <row r="825" spans="1:8">
      <c r="A825">
        <v>3260</v>
      </c>
      <c r="C825">
        <v>0</v>
      </c>
      <c r="D825">
        <v>1</v>
      </c>
      <c r="E825">
        <v>1</v>
      </c>
      <c r="F825">
        <v>0</v>
      </c>
      <c r="G825">
        <v>0</v>
      </c>
      <c r="H825">
        <f t="shared" si="12"/>
        <v>2</v>
      </c>
    </row>
    <row r="826" spans="1:8">
      <c r="A826">
        <v>3268</v>
      </c>
      <c r="C826">
        <v>0</v>
      </c>
      <c r="D826">
        <v>1</v>
      </c>
      <c r="E826">
        <v>0</v>
      </c>
      <c r="F826">
        <v>1</v>
      </c>
      <c r="G826">
        <v>0</v>
      </c>
      <c r="H826">
        <f t="shared" si="12"/>
        <v>2</v>
      </c>
    </row>
    <row r="827" spans="1:8">
      <c r="A827">
        <v>3276</v>
      </c>
      <c r="C827">
        <v>0</v>
      </c>
      <c r="D827">
        <v>1</v>
      </c>
      <c r="E827">
        <v>1</v>
      </c>
      <c r="F827">
        <v>0</v>
      </c>
      <c r="G827">
        <v>0</v>
      </c>
      <c r="H827">
        <f t="shared" si="12"/>
        <v>2</v>
      </c>
    </row>
    <row r="828" spans="1:8">
      <c r="A828">
        <v>3296</v>
      </c>
      <c r="C828">
        <v>1</v>
      </c>
      <c r="D828">
        <v>1</v>
      </c>
      <c r="E828">
        <v>0</v>
      </c>
      <c r="F828">
        <v>0</v>
      </c>
      <c r="G828">
        <v>0</v>
      </c>
      <c r="H828">
        <f t="shared" si="12"/>
        <v>2</v>
      </c>
    </row>
    <row r="829" spans="1:8">
      <c r="A829">
        <v>3299</v>
      </c>
      <c r="C829">
        <v>0</v>
      </c>
      <c r="D829">
        <v>1</v>
      </c>
      <c r="E829">
        <v>0</v>
      </c>
      <c r="F829">
        <v>1</v>
      </c>
      <c r="G829">
        <v>0</v>
      </c>
      <c r="H829">
        <f t="shared" si="12"/>
        <v>2</v>
      </c>
    </row>
    <row r="830" spans="1:8">
      <c r="A830">
        <v>3305</v>
      </c>
      <c r="C830">
        <v>0</v>
      </c>
      <c r="D830">
        <v>1</v>
      </c>
      <c r="E830">
        <v>0</v>
      </c>
      <c r="F830">
        <v>1</v>
      </c>
      <c r="G830">
        <v>0</v>
      </c>
      <c r="H830">
        <f t="shared" si="12"/>
        <v>2</v>
      </c>
    </row>
    <row r="831" spans="1:8">
      <c r="A831">
        <v>3308</v>
      </c>
      <c r="C831">
        <v>0</v>
      </c>
      <c r="D831">
        <v>1</v>
      </c>
      <c r="E831">
        <v>0</v>
      </c>
      <c r="F831">
        <v>1</v>
      </c>
      <c r="G831">
        <v>0</v>
      </c>
      <c r="H831">
        <f t="shared" si="12"/>
        <v>2</v>
      </c>
    </row>
    <row r="832" spans="1:8">
      <c r="A832">
        <v>3310</v>
      </c>
      <c r="C832">
        <v>1</v>
      </c>
      <c r="D832">
        <v>1</v>
      </c>
      <c r="E832">
        <v>0</v>
      </c>
      <c r="F832">
        <v>0</v>
      </c>
      <c r="G832">
        <v>0</v>
      </c>
      <c r="H832">
        <f t="shared" si="12"/>
        <v>2</v>
      </c>
    </row>
    <row r="833" spans="1:8">
      <c r="A833">
        <v>3339</v>
      </c>
      <c r="C833">
        <v>0</v>
      </c>
      <c r="D833">
        <v>0</v>
      </c>
      <c r="E833">
        <v>1</v>
      </c>
      <c r="F833">
        <v>1</v>
      </c>
      <c r="G833">
        <v>0</v>
      </c>
      <c r="H833">
        <f t="shared" si="12"/>
        <v>2</v>
      </c>
    </row>
    <row r="834" spans="1:8">
      <c r="A834">
        <v>3379</v>
      </c>
      <c r="C834">
        <v>0</v>
      </c>
      <c r="D834">
        <v>0</v>
      </c>
      <c r="E834">
        <v>2</v>
      </c>
      <c r="F834">
        <v>0</v>
      </c>
      <c r="G834">
        <v>0</v>
      </c>
      <c r="H834">
        <f t="shared" ref="H834:H897" si="13">SUM(C834:G834)</f>
        <v>2</v>
      </c>
    </row>
    <row r="835" spans="1:8">
      <c r="A835">
        <v>3388</v>
      </c>
      <c r="C835">
        <v>0</v>
      </c>
      <c r="D835">
        <v>1</v>
      </c>
      <c r="E835">
        <v>0</v>
      </c>
      <c r="F835">
        <v>1</v>
      </c>
      <c r="G835">
        <v>0</v>
      </c>
      <c r="H835">
        <f t="shared" si="13"/>
        <v>2</v>
      </c>
    </row>
    <row r="836" spans="1:8">
      <c r="A836">
        <v>3390</v>
      </c>
      <c r="C836">
        <v>0</v>
      </c>
      <c r="D836">
        <v>1</v>
      </c>
      <c r="E836">
        <v>0</v>
      </c>
      <c r="F836">
        <v>1</v>
      </c>
      <c r="G836">
        <v>0</v>
      </c>
      <c r="H836">
        <f t="shared" si="13"/>
        <v>2</v>
      </c>
    </row>
    <row r="837" spans="1:8">
      <c r="A837">
        <v>3406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3413</v>
      </c>
      <c r="C838">
        <v>1</v>
      </c>
      <c r="D838">
        <v>1</v>
      </c>
      <c r="E838">
        <v>0</v>
      </c>
      <c r="F838">
        <v>0</v>
      </c>
      <c r="G838">
        <v>0</v>
      </c>
      <c r="H838">
        <f t="shared" si="13"/>
        <v>2</v>
      </c>
    </row>
    <row r="839" spans="1:8">
      <c r="A839">
        <v>3416</v>
      </c>
      <c r="C839">
        <v>0</v>
      </c>
      <c r="D839">
        <v>1</v>
      </c>
      <c r="E839">
        <v>0</v>
      </c>
      <c r="F839">
        <v>1</v>
      </c>
      <c r="G839">
        <v>0</v>
      </c>
      <c r="H839">
        <f t="shared" si="13"/>
        <v>2</v>
      </c>
    </row>
    <row r="840" spans="1:8">
      <c r="A840">
        <v>3437</v>
      </c>
      <c r="C840">
        <v>0</v>
      </c>
      <c r="D840">
        <v>1</v>
      </c>
      <c r="E840">
        <v>0</v>
      </c>
      <c r="F840">
        <v>1</v>
      </c>
      <c r="G840">
        <v>0</v>
      </c>
      <c r="H840">
        <f t="shared" si="13"/>
        <v>2</v>
      </c>
    </row>
    <row r="841" spans="1:8">
      <c r="A841">
        <v>3441</v>
      </c>
      <c r="C841">
        <v>0</v>
      </c>
      <c r="D841">
        <v>1</v>
      </c>
      <c r="E841">
        <v>0</v>
      </c>
      <c r="F841">
        <v>1</v>
      </c>
      <c r="G841">
        <v>0</v>
      </c>
      <c r="H841">
        <f t="shared" si="13"/>
        <v>2</v>
      </c>
    </row>
    <row r="842" spans="1:8">
      <c r="A842">
        <v>3454</v>
      </c>
      <c r="C842">
        <v>0</v>
      </c>
      <c r="D842">
        <v>1</v>
      </c>
      <c r="E842">
        <v>0</v>
      </c>
      <c r="F842">
        <v>1</v>
      </c>
      <c r="G842">
        <v>0</v>
      </c>
      <c r="H842">
        <f t="shared" si="13"/>
        <v>2</v>
      </c>
    </row>
    <row r="843" spans="1:8">
      <c r="A843">
        <v>3455</v>
      </c>
      <c r="C843">
        <v>0</v>
      </c>
      <c r="D843">
        <v>1</v>
      </c>
      <c r="E843">
        <v>0</v>
      </c>
      <c r="F843">
        <v>1</v>
      </c>
      <c r="G843">
        <v>0</v>
      </c>
      <c r="H843">
        <f t="shared" si="13"/>
        <v>2</v>
      </c>
    </row>
    <row r="844" spans="1:8">
      <c r="A844">
        <v>3466</v>
      </c>
      <c r="C844">
        <v>0</v>
      </c>
      <c r="D844">
        <v>1</v>
      </c>
      <c r="E844">
        <v>0</v>
      </c>
      <c r="F844">
        <v>1</v>
      </c>
      <c r="G844">
        <v>0</v>
      </c>
      <c r="H844">
        <f t="shared" si="13"/>
        <v>2</v>
      </c>
    </row>
    <row r="845" spans="1:8">
      <c r="A845">
        <v>3504</v>
      </c>
      <c r="C845">
        <v>0</v>
      </c>
      <c r="D845">
        <v>1</v>
      </c>
      <c r="E845">
        <v>1</v>
      </c>
      <c r="F845">
        <v>0</v>
      </c>
      <c r="G845">
        <v>0</v>
      </c>
      <c r="H845">
        <f t="shared" si="13"/>
        <v>2</v>
      </c>
    </row>
    <row r="846" spans="1:8">
      <c r="A846">
        <v>3529</v>
      </c>
      <c r="C846">
        <v>0</v>
      </c>
      <c r="D846">
        <v>0</v>
      </c>
      <c r="E846">
        <v>1</v>
      </c>
      <c r="F846">
        <v>1</v>
      </c>
      <c r="G846">
        <v>0</v>
      </c>
      <c r="H846">
        <f t="shared" si="13"/>
        <v>2</v>
      </c>
    </row>
    <row r="847" spans="1:8">
      <c r="A847">
        <v>3531</v>
      </c>
      <c r="C847">
        <v>0</v>
      </c>
      <c r="D847">
        <v>1</v>
      </c>
      <c r="E847">
        <v>1</v>
      </c>
      <c r="F847">
        <v>0</v>
      </c>
      <c r="G847">
        <v>0</v>
      </c>
      <c r="H847">
        <f t="shared" si="13"/>
        <v>2</v>
      </c>
    </row>
    <row r="848" spans="1:8">
      <c r="A848">
        <v>3535</v>
      </c>
      <c r="C848">
        <v>0</v>
      </c>
      <c r="D848">
        <v>1</v>
      </c>
      <c r="E848">
        <v>1</v>
      </c>
      <c r="F848">
        <v>0</v>
      </c>
      <c r="G848">
        <v>0</v>
      </c>
      <c r="H848">
        <f t="shared" si="13"/>
        <v>2</v>
      </c>
    </row>
    <row r="849" spans="1:8">
      <c r="A849">
        <v>3537</v>
      </c>
      <c r="C849">
        <v>1</v>
      </c>
      <c r="D849">
        <v>1</v>
      </c>
      <c r="E849">
        <v>0</v>
      </c>
      <c r="F849">
        <v>0</v>
      </c>
      <c r="G849">
        <v>0</v>
      </c>
      <c r="H849">
        <f t="shared" si="13"/>
        <v>2</v>
      </c>
    </row>
    <row r="850" spans="1:8">
      <c r="A850">
        <v>3540</v>
      </c>
      <c r="C850">
        <v>1</v>
      </c>
      <c r="D850">
        <v>1</v>
      </c>
      <c r="E850">
        <v>0</v>
      </c>
      <c r="F850">
        <v>0</v>
      </c>
      <c r="G850">
        <v>0</v>
      </c>
      <c r="H850">
        <f t="shared" si="13"/>
        <v>2</v>
      </c>
    </row>
    <row r="851" spans="1:8">
      <c r="A851">
        <v>3550</v>
      </c>
      <c r="C851">
        <v>0</v>
      </c>
      <c r="D851">
        <v>1</v>
      </c>
      <c r="E851">
        <v>0</v>
      </c>
      <c r="F851">
        <v>1</v>
      </c>
      <c r="G851">
        <v>0</v>
      </c>
      <c r="H851">
        <f t="shared" si="13"/>
        <v>2</v>
      </c>
    </row>
    <row r="852" spans="1:8">
      <c r="A852">
        <v>3557</v>
      </c>
      <c r="C852">
        <v>0</v>
      </c>
      <c r="D852">
        <v>1</v>
      </c>
      <c r="E852">
        <v>0</v>
      </c>
      <c r="F852">
        <v>1</v>
      </c>
      <c r="G852">
        <v>0</v>
      </c>
      <c r="H852">
        <f t="shared" si="13"/>
        <v>2</v>
      </c>
    </row>
    <row r="853" spans="1:8">
      <c r="A853">
        <v>3563</v>
      </c>
      <c r="C853">
        <v>1</v>
      </c>
      <c r="D853">
        <v>1</v>
      </c>
      <c r="E853">
        <v>0</v>
      </c>
      <c r="F853">
        <v>0</v>
      </c>
      <c r="G853">
        <v>0</v>
      </c>
      <c r="H853">
        <f t="shared" si="13"/>
        <v>2</v>
      </c>
    </row>
    <row r="854" spans="1:8">
      <c r="A854">
        <v>3570</v>
      </c>
      <c r="C854">
        <v>0</v>
      </c>
      <c r="D854">
        <v>0</v>
      </c>
      <c r="E854">
        <v>2</v>
      </c>
      <c r="F854">
        <v>0</v>
      </c>
      <c r="G854">
        <v>0</v>
      </c>
      <c r="H854">
        <f t="shared" si="13"/>
        <v>2</v>
      </c>
    </row>
    <row r="855" spans="1:8">
      <c r="A855">
        <v>3576</v>
      </c>
      <c r="C855">
        <v>0</v>
      </c>
      <c r="D855">
        <v>1</v>
      </c>
      <c r="E855">
        <v>1</v>
      </c>
      <c r="F855">
        <v>0</v>
      </c>
      <c r="G855">
        <v>0</v>
      </c>
      <c r="H855">
        <f t="shared" si="13"/>
        <v>2</v>
      </c>
    </row>
    <row r="856" spans="1:8">
      <c r="A856">
        <v>3577</v>
      </c>
      <c r="C856">
        <v>0</v>
      </c>
      <c r="D856">
        <v>1</v>
      </c>
      <c r="E856">
        <v>0</v>
      </c>
      <c r="F856">
        <v>1</v>
      </c>
      <c r="G856">
        <v>0</v>
      </c>
      <c r="H856">
        <f t="shared" si="13"/>
        <v>2</v>
      </c>
    </row>
    <row r="857" spans="1:8">
      <c r="A857">
        <v>3591</v>
      </c>
      <c r="C857">
        <v>0</v>
      </c>
      <c r="D857">
        <v>1</v>
      </c>
      <c r="E857">
        <v>0</v>
      </c>
      <c r="F857">
        <v>1</v>
      </c>
      <c r="G857">
        <v>0</v>
      </c>
      <c r="H857">
        <f t="shared" si="13"/>
        <v>2</v>
      </c>
    </row>
    <row r="858" spans="1:8">
      <c r="A858">
        <v>3598</v>
      </c>
      <c r="C858">
        <v>0</v>
      </c>
      <c r="D858">
        <v>1</v>
      </c>
      <c r="E858">
        <v>0</v>
      </c>
      <c r="F858">
        <v>1</v>
      </c>
      <c r="G858">
        <v>0</v>
      </c>
      <c r="H858">
        <f t="shared" si="13"/>
        <v>2</v>
      </c>
    </row>
    <row r="859" spans="1:8">
      <c r="A859">
        <v>3607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3622</v>
      </c>
      <c r="C860">
        <v>0</v>
      </c>
      <c r="D860">
        <v>1</v>
      </c>
      <c r="E860">
        <v>0</v>
      </c>
      <c r="F860">
        <v>1</v>
      </c>
      <c r="G860">
        <v>0</v>
      </c>
      <c r="H860">
        <f t="shared" si="13"/>
        <v>2</v>
      </c>
    </row>
    <row r="861" spans="1:8">
      <c r="A861">
        <v>3625</v>
      </c>
      <c r="C861">
        <v>0</v>
      </c>
      <c r="D861">
        <v>1</v>
      </c>
      <c r="E861">
        <v>1</v>
      </c>
      <c r="F861">
        <v>0</v>
      </c>
      <c r="G861">
        <v>0</v>
      </c>
      <c r="H861">
        <f t="shared" si="13"/>
        <v>2</v>
      </c>
    </row>
    <row r="862" spans="1:8">
      <c r="A862">
        <v>3629</v>
      </c>
      <c r="C862">
        <v>0</v>
      </c>
      <c r="D862">
        <v>1</v>
      </c>
      <c r="E862">
        <v>1</v>
      </c>
      <c r="F862">
        <v>0</v>
      </c>
      <c r="G862">
        <v>0</v>
      </c>
      <c r="H862">
        <f t="shared" si="13"/>
        <v>2</v>
      </c>
    </row>
    <row r="863" spans="1:8">
      <c r="A863">
        <v>3631</v>
      </c>
      <c r="C863">
        <v>0</v>
      </c>
      <c r="D863">
        <v>0</v>
      </c>
      <c r="E863">
        <v>1</v>
      </c>
      <c r="F863">
        <v>1</v>
      </c>
      <c r="G863">
        <v>0</v>
      </c>
      <c r="H863">
        <f t="shared" si="13"/>
        <v>2</v>
      </c>
    </row>
    <row r="864" spans="1:8">
      <c r="A864">
        <v>3645</v>
      </c>
      <c r="C864">
        <v>0</v>
      </c>
      <c r="D864">
        <v>1</v>
      </c>
      <c r="E864">
        <v>1</v>
      </c>
      <c r="F864">
        <v>0</v>
      </c>
      <c r="G864">
        <v>0</v>
      </c>
      <c r="H864">
        <f t="shared" si="13"/>
        <v>2</v>
      </c>
    </row>
    <row r="865" spans="1:8">
      <c r="A865">
        <v>3658</v>
      </c>
      <c r="C865">
        <v>0</v>
      </c>
      <c r="D865">
        <v>1</v>
      </c>
      <c r="E865">
        <v>0</v>
      </c>
      <c r="F865">
        <v>1</v>
      </c>
      <c r="G865">
        <v>0</v>
      </c>
      <c r="H865">
        <f t="shared" si="13"/>
        <v>2</v>
      </c>
    </row>
    <row r="866" spans="1:8">
      <c r="A866">
        <v>3661</v>
      </c>
      <c r="C866">
        <v>0</v>
      </c>
      <c r="D866">
        <v>1</v>
      </c>
      <c r="E866">
        <v>0</v>
      </c>
      <c r="F866">
        <v>1</v>
      </c>
      <c r="G866">
        <v>0</v>
      </c>
      <c r="H866">
        <f t="shared" si="13"/>
        <v>2</v>
      </c>
    </row>
    <row r="867" spans="1:8">
      <c r="A867">
        <v>3664</v>
      </c>
      <c r="C867">
        <v>0</v>
      </c>
      <c r="D867">
        <v>0</v>
      </c>
      <c r="E867">
        <v>1</v>
      </c>
      <c r="F867">
        <v>1</v>
      </c>
      <c r="G867">
        <v>0</v>
      </c>
      <c r="H867">
        <f t="shared" si="13"/>
        <v>2</v>
      </c>
    </row>
    <row r="868" spans="1:8">
      <c r="A868">
        <v>3666</v>
      </c>
      <c r="C868">
        <v>0</v>
      </c>
      <c r="D868">
        <v>1</v>
      </c>
      <c r="E868">
        <v>0</v>
      </c>
      <c r="F868">
        <v>1</v>
      </c>
      <c r="G868">
        <v>0</v>
      </c>
      <c r="H868">
        <f t="shared" si="13"/>
        <v>2</v>
      </c>
    </row>
    <row r="869" spans="1:8">
      <c r="A869">
        <v>3685</v>
      </c>
      <c r="C869">
        <v>0</v>
      </c>
      <c r="D869">
        <v>0</v>
      </c>
      <c r="E869">
        <v>1</v>
      </c>
      <c r="F869">
        <v>0</v>
      </c>
      <c r="G869">
        <v>1</v>
      </c>
      <c r="H869">
        <f t="shared" si="13"/>
        <v>2</v>
      </c>
    </row>
    <row r="870" spans="1:8">
      <c r="A870">
        <v>3686</v>
      </c>
      <c r="C870">
        <v>0</v>
      </c>
      <c r="D870">
        <v>1</v>
      </c>
      <c r="E870">
        <v>0</v>
      </c>
      <c r="F870">
        <v>1</v>
      </c>
      <c r="G870">
        <v>0</v>
      </c>
      <c r="H870">
        <f t="shared" si="13"/>
        <v>2</v>
      </c>
    </row>
    <row r="871" spans="1:8">
      <c r="A871">
        <v>3701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3705</v>
      </c>
      <c r="C872">
        <v>1</v>
      </c>
      <c r="D872">
        <v>1</v>
      </c>
      <c r="E872">
        <v>0</v>
      </c>
      <c r="F872">
        <v>0</v>
      </c>
      <c r="G872">
        <v>0</v>
      </c>
      <c r="H872">
        <f t="shared" si="13"/>
        <v>2</v>
      </c>
    </row>
    <row r="873" spans="1:8">
      <c r="A873">
        <v>4109</v>
      </c>
      <c r="C873">
        <v>0</v>
      </c>
      <c r="D873">
        <v>1</v>
      </c>
      <c r="E873">
        <v>0</v>
      </c>
      <c r="F873">
        <v>1</v>
      </c>
      <c r="G873">
        <v>0</v>
      </c>
      <c r="H873">
        <f t="shared" si="13"/>
        <v>2</v>
      </c>
    </row>
    <row r="874" spans="1:8">
      <c r="A874">
        <v>4113</v>
      </c>
      <c r="C874">
        <v>0</v>
      </c>
      <c r="D874">
        <v>1</v>
      </c>
      <c r="E874">
        <v>1</v>
      </c>
      <c r="F874">
        <v>0</v>
      </c>
      <c r="G874">
        <v>0</v>
      </c>
      <c r="H874">
        <f t="shared" si="13"/>
        <v>2</v>
      </c>
    </row>
    <row r="875" spans="1:8">
      <c r="A875">
        <v>4119</v>
      </c>
      <c r="C875">
        <v>0</v>
      </c>
      <c r="D875">
        <v>1</v>
      </c>
      <c r="E875">
        <v>0</v>
      </c>
      <c r="F875">
        <v>1</v>
      </c>
      <c r="G875">
        <v>0</v>
      </c>
      <c r="H875">
        <f t="shared" si="13"/>
        <v>2</v>
      </c>
    </row>
    <row r="876" spans="1:8">
      <c r="A876">
        <v>4128</v>
      </c>
      <c r="C876">
        <v>0</v>
      </c>
      <c r="D876">
        <v>1</v>
      </c>
      <c r="E876">
        <v>1</v>
      </c>
      <c r="F876">
        <v>0</v>
      </c>
      <c r="G876">
        <v>0</v>
      </c>
      <c r="H876">
        <f t="shared" si="13"/>
        <v>2</v>
      </c>
    </row>
    <row r="877" spans="1:8">
      <c r="A877">
        <v>4131</v>
      </c>
      <c r="C877">
        <v>0</v>
      </c>
      <c r="D877">
        <v>1</v>
      </c>
      <c r="E877">
        <v>1</v>
      </c>
      <c r="F877">
        <v>0</v>
      </c>
      <c r="G877">
        <v>0</v>
      </c>
      <c r="H877">
        <f t="shared" si="13"/>
        <v>2</v>
      </c>
    </row>
    <row r="878" spans="1:8">
      <c r="A878">
        <v>4133</v>
      </c>
      <c r="C878">
        <v>0</v>
      </c>
      <c r="D878">
        <v>0</v>
      </c>
      <c r="E878">
        <v>1</v>
      </c>
      <c r="F878">
        <v>0</v>
      </c>
      <c r="G878">
        <v>1</v>
      </c>
      <c r="H878">
        <f t="shared" si="13"/>
        <v>2</v>
      </c>
    </row>
    <row r="879" spans="1:8">
      <c r="A879">
        <v>4137</v>
      </c>
      <c r="C879">
        <v>1</v>
      </c>
      <c r="D879">
        <v>1</v>
      </c>
      <c r="E879">
        <v>0</v>
      </c>
      <c r="F879">
        <v>0</v>
      </c>
      <c r="G879">
        <v>0</v>
      </c>
      <c r="H879">
        <f t="shared" si="13"/>
        <v>2</v>
      </c>
    </row>
    <row r="880" spans="1:8">
      <c r="A880">
        <v>4139</v>
      </c>
      <c r="C880">
        <v>0</v>
      </c>
      <c r="D880">
        <v>1</v>
      </c>
      <c r="E880">
        <v>0</v>
      </c>
      <c r="F880">
        <v>0</v>
      </c>
      <c r="G880">
        <v>1</v>
      </c>
      <c r="H880">
        <f t="shared" si="13"/>
        <v>2</v>
      </c>
    </row>
    <row r="881" spans="1:8">
      <c r="A881">
        <v>4142</v>
      </c>
      <c r="C881">
        <v>0</v>
      </c>
      <c r="D881">
        <v>1</v>
      </c>
      <c r="E881">
        <v>1</v>
      </c>
      <c r="F881">
        <v>0</v>
      </c>
      <c r="G881">
        <v>0</v>
      </c>
      <c r="H881">
        <f t="shared" si="13"/>
        <v>2</v>
      </c>
    </row>
    <row r="882" spans="1:8">
      <c r="A882">
        <v>4154</v>
      </c>
      <c r="C882">
        <v>0</v>
      </c>
      <c r="D882">
        <v>0</v>
      </c>
      <c r="E882">
        <v>1</v>
      </c>
      <c r="F882">
        <v>1</v>
      </c>
      <c r="G882">
        <v>0</v>
      </c>
      <c r="H882">
        <f t="shared" si="13"/>
        <v>2</v>
      </c>
    </row>
    <row r="883" spans="1:8">
      <c r="A883">
        <v>4161</v>
      </c>
      <c r="C883">
        <v>0</v>
      </c>
      <c r="D883">
        <v>1</v>
      </c>
      <c r="E883">
        <v>0</v>
      </c>
      <c r="F883">
        <v>1</v>
      </c>
      <c r="G883">
        <v>0</v>
      </c>
      <c r="H883">
        <f t="shared" si="13"/>
        <v>2</v>
      </c>
    </row>
    <row r="884" spans="1:8">
      <c r="A884">
        <v>4164</v>
      </c>
      <c r="C884">
        <v>0</v>
      </c>
      <c r="D884">
        <v>1</v>
      </c>
      <c r="E884">
        <v>0</v>
      </c>
      <c r="F884">
        <v>1</v>
      </c>
      <c r="G884">
        <v>0</v>
      </c>
      <c r="H884">
        <f t="shared" si="13"/>
        <v>2</v>
      </c>
    </row>
    <row r="885" spans="1:8">
      <c r="A885">
        <v>4171</v>
      </c>
      <c r="C885">
        <v>1</v>
      </c>
      <c r="D885">
        <v>1</v>
      </c>
      <c r="E885">
        <v>0</v>
      </c>
      <c r="F885">
        <v>0</v>
      </c>
      <c r="G885">
        <v>0</v>
      </c>
      <c r="H885">
        <f t="shared" si="13"/>
        <v>2</v>
      </c>
    </row>
    <row r="886" spans="1:8">
      <c r="A886">
        <v>4180</v>
      </c>
      <c r="C886">
        <v>0</v>
      </c>
      <c r="D886">
        <v>1</v>
      </c>
      <c r="E886">
        <v>1</v>
      </c>
      <c r="F886">
        <v>0</v>
      </c>
      <c r="G886">
        <v>0</v>
      </c>
      <c r="H886">
        <f t="shared" si="13"/>
        <v>2</v>
      </c>
    </row>
    <row r="887" spans="1:8">
      <c r="A887">
        <v>4188</v>
      </c>
      <c r="C887">
        <v>0</v>
      </c>
      <c r="D887">
        <v>1</v>
      </c>
      <c r="E887">
        <v>1</v>
      </c>
      <c r="F887">
        <v>0</v>
      </c>
      <c r="G887">
        <v>0</v>
      </c>
      <c r="H887">
        <f t="shared" si="13"/>
        <v>2</v>
      </c>
    </row>
    <row r="888" spans="1:8">
      <c r="A888">
        <v>4190</v>
      </c>
      <c r="C888">
        <v>0</v>
      </c>
      <c r="D888">
        <v>1</v>
      </c>
      <c r="E888">
        <v>0</v>
      </c>
      <c r="F888">
        <v>1</v>
      </c>
      <c r="G888">
        <v>0</v>
      </c>
      <c r="H888">
        <f t="shared" si="13"/>
        <v>2</v>
      </c>
    </row>
    <row r="889" spans="1:8">
      <c r="A889">
        <v>4192</v>
      </c>
      <c r="C889">
        <v>0</v>
      </c>
      <c r="D889">
        <v>1</v>
      </c>
      <c r="E889">
        <v>0</v>
      </c>
      <c r="F889">
        <v>1</v>
      </c>
      <c r="G889">
        <v>0</v>
      </c>
      <c r="H889">
        <f t="shared" si="13"/>
        <v>2</v>
      </c>
    </row>
    <row r="890" spans="1:8">
      <c r="A890">
        <v>4303</v>
      </c>
      <c r="C890">
        <v>1</v>
      </c>
      <c r="D890">
        <v>1</v>
      </c>
      <c r="E890">
        <v>0</v>
      </c>
      <c r="F890">
        <v>0</v>
      </c>
      <c r="G890">
        <v>0</v>
      </c>
      <c r="H890">
        <f t="shared" si="13"/>
        <v>2</v>
      </c>
    </row>
    <row r="891" spans="1:8">
      <c r="A891">
        <v>4401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4402</v>
      </c>
      <c r="C892">
        <v>0</v>
      </c>
      <c r="D892">
        <v>0</v>
      </c>
      <c r="E892">
        <v>2</v>
      </c>
      <c r="F892">
        <v>0</v>
      </c>
      <c r="G892">
        <v>0</v>
      </c>
      <c r="H892">
        <f t="shared" si="13"/>
        <v>2</v>
      </c>
    </row>
    <row r="893" spans="1:8">
      <c r="A893">
        <v>4430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4433</v>
      </c>
      <c r="C894">
        <v>0</v>
      </c>
      <c r="D894">
        <v>1</v>
      </c>
      <c r="E894">
        <v>0</v>
      </c>
      <c r="F894">
        <v>1</v>
      </c>
      <c r="G894">
        <v>0</v>
      </c>
      <c r="H894">
        <f t="shared" si="13"/>
        <v>2</v>
      </c>
    </row>
    <row r="895" spans="1:8">
      <c r="A895">
        <v>4510</v>
      </c>
      <c r="C895">
        <v>1</v>
      </c>
      <c r="D895">
        <v>1</v>
      </c>
      <c r="E895">
        <v>0</v>
      </c>
      <c r="F895">
        <v>0</v>
      </c>
      <c r="G895">
        <v>0</v>
      </c>
      <c r="H895">
        <f t="shared" si="13"/>
        <v>2</v>
      </c>
    </row>
    <row r="896" spans="1:8">
      <c r="A896">
        <v>4523</v>
      </c>
      <c r="C896">
        <v>0</v>
      </c>
      <c r="D896">
        <v>0</v>
      </c>
      <c r="E896">
        <v>1</v>
      </c>
      <c r="F896">
        <v>1</v>
      </c>
      <c r="G896">
        <v>0</v>
      </c>
      <c r="H896">
        <f t="shared" si="13"/>
        <v>2</v>
      </c>
    </row>
    <row r="897" spans="1:8">
      <c r="A897">
        <v>4526</v>
      </c>
      <c r="C897">
        <v>0</v>
      </c>
      <c r="D897">
        <v>1</v>
      </c>
      <c r="E897">
        <v>0</v>
      </c>
      <c r="F897">
        <v>1</v>
      </c>
      <c r="G897">
        <v>0</v>
      </c>
      <c r="H897">
        <f t="shared" si="13"/>
        <v>2</v>
      </c>
    </row>
    <row r="898" spans="1:8">
      <c r="A898">
        <v>4528</v>
      </c>
      <c r="C898">
        <v>0</v>
      </c>
      <c r="D898">
        <v>1</v>
      </c>
      <c r="E898">
        <v>0</v>
      </c>
      <c r="F898">
        <v>1</v>
      </c>
      <c r="G898">
        <v>0</v>
      </c>
      <c r="H898">
        <f t="shared" ref="H898:H961" si="14">SUM(C898:G898)</f>
        <v>2</v>
      </c>
    </row>
    <row r="899" spans="1:8">
      <c r="A899">
        <v>4532</v>
      </c>
      <c r="C899">
        <v>0</v>
      </c>
      <c r="D899">
        <v>1</v>
      </c>
      <c r="E899">
        <v>0</v>
      </c>
      <c r="F899">
        <v>1</v>
      </c>
      <c r="G899">
        <v>0</v>
      </c>
      <c r="H899">
        <f t="shared" si="14"/>
        <v>2</v>
      </c>
    </row>
    <row r="900" spans="1:8">
      <c r="A900">
        <v>4541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4551</v>
      </c>
      <c r="C901">
        <v>1</v>
      </c>
      <c r="D901">
        <v>1</v>
      </c>
      <c r="E901">
        <v>0</v>
      </c>
      <c r="F901">
        <v>0</v>
      </c>
      <c r="G901">
        <v>0</v>
      </c>
      <c r="H901">
        <f t="shared" si="14"/>
        <v>2</v>
      </c>
    </row>
    <row r="902" spans="1:8">
      <c r="A902">
        <v>4555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4712</v>
      </c>
      <c r="C903">
        <v>0</v>
      </c>
      <c r="D903">
        <v>1</v>
      </c>
      <c r="E903">
        <v>0</v>
      </c>
      <c r="F903">
        <v>1</v>
      </c>
      <c r="G903">
        <v>0</v>
      </c>
      <c r="H903">
        <f t="shared" si="14"/>
        <v>2</v>
      </c>
    </row>
    <row r="904" spans="1:8">
      <c r="A904">
        <v>4714</v>
      </c>
      <c r="C904">
        <v>0</v>
      </c>
      <c r="D904">
        <v>1</v>
      </c>
      <c r="E904">
        <v>0</v>
      </c>
      <c r="F904">
        <v>0</v>
      </c>
      <c r="G904">
        <v>1</v>
      </c>
      <c r="H904">
        <f t="shared" si="14"/>
        <v>2</v>
      </c>
    </row>
    <row r="905" spans="1:8">
      <c r="A905">
        <v>4716</v>
      </c>
      <c r="C905">
        <v>0</v>
      </c>
      <c r="D905">
        <v>1</v>
      </c>
      <c r="E905">
        <v>1</v>
      </c>
      <c r="F905">
        <v>0</v>
      </c>
      <c r="G905">
        <v>0</v>
      </c>
      <c r="H905">
        <f t="shared" si="14"/>
        <v>2</v>
      </c>
    </row>
    <row r="906" spans="1:8">
      <c r="A906">
        <v>4729</v>
      </c>
      <c r="C906">
        <v>1</v>
      </c>
      <c r="D906">
        <v>1</v>
      </c>
      <c r="E906">
        <v>0</v>
      </c>
      <c r="F906">
        <v>0</v>
      </c>
      <c r="G906">
        <v>0</v>
      </c>
      <c r="H906">
        <f t="shared" si="14"/>
        <v>2</v>
      </c>
    </row>
    <row r="907" spans="1:8">
      <c r="A907">
        <v>4733</v>
      </c>
      <c r="C907">
        <v>1</v>
      </c>
      <c r="D907">
        <v>1</v>
      </c>
      <c r="E907">
        <v>0</v>
      </c>
      <c r="F907">
        <v>0</v>
      </c>
      <c r="G907">
        <v>0</v>
      </c>
      <c r="H907">
        <f t="shared" si="14"/>
        <v>2</v>
      </c>
    </row>
    <row r="908" spans="1:8">
      <c r="A908">
        <v>4747</v>
      </c>
      <c r="C908">
        <v>0</v>
      </c>
      <c r="D908">
        <v>1</v>
      </c>
      <c r="E908">
        <v>0</v>
      </c>
      <c r="F908">
        <v>1</v>
      </c>
      <c r="G908">
        <v>0</v>
      </c>
      <c r="H908">
        <f t="shared" si="14"/>
        <v>2</v>
      </c>
    </row>
    <row r="909" spans="1:8">
      <c r="A909">
        <v>4903</v>
      </c>
      <c r="C909">
        <v>0</v>
      </c>
      <c r="D909">
        <v>1</v>
      </c>
      <c r="E909">
        <v>1</v>
      </c>
      <c r="F909">
        <v>0</v>
      </c>
      <c r="G909">
        <v>0</v>
      </c>
      <c r="H909">
        <f t="shared" si="14"/>
        <v>2</v>
      </c>
    </row>
    <row r="910" spans="1:8">
      <c r="A910">
        <v>4912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4939</v>
      </c>
      <c r="C911">
        <v>0</v>
      </c>
      <c r="D911">
        <v>1</v>
      </c>
      <c r="E911">
        <v>0</v>
      </c>
      <c r="F911">
        <v>1</v>
      </c>
      <c r="G911">
        <v>0</v>
      </c>
      <c r="H911">
        <f t="shared" si="14"/>
        <v>2</v>
      </c>
    </row>
    <row r="912" spans="1:8">
      <c r="A912">
        <v>4944</v>
      </c>
      <c r="C912">
        <v>0</v>
      </c>
      <c r="D912">
        <v>0</v>
      </c>
      <c r="E912">
        <v>1</v>
      </c>
      <c r="F912">
        <v>1</v>
      </c>
      <c r="G912">
        <v>0</v>
      </c>
      <c r="H912">
        <f t="shared" si="14"/>
        <v>2</v>
      </c>
    </row>
    <row r="913" spans="1:8">
      <c r="A913">
        <v>4946</v>
      </c>
      <c r="C913">
        <v>0</v>
      </c>
      <c r="D913">
        <v>0</v>
      </c>
      <c r="E913">
        <v>2</v>
      </c>
      <c r="F913">
        <v>0</v>
      </c>
      <c r="G913">
        <v>0</v>
      </c>
      <c r="H913">
        <f t="shared" si="14"/>
        <v>2</v>
      </c>
    </row>
    <row r="914" spans="1:8">
      <c r="A914">
        <v>4956</v>
      </c>
      <c r="C914">
        <v>0</v>
      </c>
      <c r="D914">
        <v>1</v>
      </c>
      <c r="E914">
        <v>0</v>
      </c>
      <c r="F914">
        <v>1</v>
      </c>
      <c r="G914">
        <v>0</v>
      </c>
      <c r="H914">
        <f t="shared" si="14"/>
        <v>2</v>
      </c>
    </row>
    <row r="915" spans="1:8">
      <c r="A915">
        <v>4958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4960</v>
      </c>
      <c r="C916">
        <v>0</v>
      </c>
      <c r="D916">
        <v>1</v>
      </c>
      <c r="E916">
        <v>0</v>
      </c>
      <c r="F916">
        <v>1</v>
      </c>
      <c r="G916">
        <v>0</v>
      </c>
      <c r="H916">
        <f t="shared" si="14"/>
        <v>2</v>
      </c>
    </row>
    <row r="917" spans="1:8">
      <c r="A917">
        <v>4966</v>
      </c>
      <c r="C917">
        <v>0</v>
      </c>
      <c r="D917">
        <v>0</v>
      </c>
      <c r="E917">
        <v>2</v>
      </c>
      <c r="F917">
        <v>0</v>
      </c>
      <c r="G917">
        <v>0</v>
      </c>
      <c r="H917">
        <f t="shared" si="14"/>
        <v>2</v>
      </c>
    </row>
    <row r="918" spans="1:8">
      <c r="A918">
        <v>4974</v>
      </c>
      <c r="C918">
        <v>1</v>
      </c>
      <c r="D918">
        <v>1</v>
      </c>
      <c r="E918">
        <v>0</v>
      </c>
      <c r="F918">
        <v>0</v>
      </c>
      <c r="G918">
        <v>0</v>
      </c>
      <c r="H918">
        <f t="shared" si="14"/>
        <v>2</v>
      </c>
    </row>
    <row r="919" spans="1:8">
      <c r="A919">
        <v>4976</v>
      </c>
      <c r="C919">
        <v>0</v>
      </c>
      <c r="D919">
        <v>1</v>
      </c>
      <c r="E919">
        <v>0</v>
      </c>
      <c r="F919">
        <v>1</v>
      </c>
      <c r="G919">
        <v>0</v>
      </c>
      <c r="H919">
        <f t="shared" si="14"/>
        <v>2</v>
      </c>
    </row>
    <row r="920" spans="1:8">
      <c r="A920">
        <v>4987</v>
      </c>
      <c r="C920">
        <v>1</v>
      </c>
      <c r="D920">
        <v>1</v>
      </c>
      <c r="E920">
        <v>0</v>
      </c>
      <c r="F920">
        <v>0</v>
      </c>
      <c r="G920">
        <v>0</v>
      </c>
      <c r="H920">
        <f t="shared" si="14"/>
        <v>2</v>
      </c>
    </row>
    <row r="921" spans="1:8">
      <c r="A921">
        <v>4995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5007</v>
      </c>
      <c r="C922">
        <v>0</v>
      </c>
      <c r="D922">
        <v>1</v>
      </c>
      <c r="E922">
        <v>0</v>
      </c>
      <c r="F922">
        <v>1</v>
      </c>
      <c r="G922">
        <v>0</v>
      </c>
      <c r="H922">
        <f t="shared" si="14"/>
        <v>2</v>
      </c>
    </row>
    <row r="923" spans="1:8">
      <c r="A923">
        <v>5013</v>
      </c>
      <c r="C923">
        <v>0</v>
      </c>
      <c r="D923">
        <v>1</v>
      </c>
      <c r="E923">
        <v>0</v>
      </c>
      <c r="F923">
        <v>1</v>
      </c>
      <c r="G923">
        <v>0</v>
      </c>
      <c r="H923">
        <f t="shared" si="14"/>
        <v>2</v>
      </c>
    </row>
    <row r="924" spans="1:8">
      <c r="A924">
        <v>5016</v>
      </c>
      <c r="C924">
        <v>0</v>
      </c>
      <c r="D924">
        <v>1</v>
      </c>
      <c r="E924">
        <v>0</v>
      </c>
      <c r="F924">
        <v>1</v>
      </c>
      <c r="G924">
        <v>0</v>
      </c>
      <c r="H924">
        <f t="shared" si="14"/>
        <v>2</v>
      </c>
    </row>
    <row r="925" spans="1:8">
      <c r="A925">
        <v>5202</v>
      </c>
      <c r="C925">
        <v>0</v>
      </c>
      <c r="D925">
        <v>1</v>
      </c>
      <c r="E925">
        <v>1</v>
      </c>
      <c r="F925">
        <v>0</v>
      </c>
      <c r="G925">
        <v>0</v>
      </c>
      <c r="H925">
        <f t="shared" si="14"/>
        <v>2</v>
      </c>
    </row>
    <row r="926" spans="1:8">
      <c r="A926">
        <v>5210</v>
      </c>
      <c r="C926">
        <v>0</v>
      </c>
      <c r="D926">
        <v>0</v>
      </c>
      <c r="E926">
        <v>1</v>
      </c>
      <c r="F926">
        <v>1</v>
      </c>
      <c r="G926">
        <v>0</v>
      </c>
      <c r="H926">
        <f t="shared" si="14"/>
        <v>2</v>
      </c>
    </row>
    <row r="927" spans="1:8">
      <c r="A927">
        <v>5212</v>
      </c>
      <c r="C927">
        <v>0</v>
      </c>
      <c r="D927">
        <v>1</v>
      </c>
      <c r="E927">
        <v>1</v>
      </c>
      <c r="F927">
        <v>0</v>
      </c>
      <c r="G927">
        <v>0</v>
      </c>
      <c r="H927">
        <f t="shared" si="14"/>
        <v>2</v>
      </c>
    </row>
    <row r="928" spans="1:8">
      <c r="A928">
        <v>5251</v>
      </c>
      <c r="C928">
        <v>0</v>
      </c>
      <c r="D928">
        <v>1</v>
      </c>
      <c r="E928">
        <v>0</v>
      </c>
      <c r="F928">
        <v>1</v>
      </c>
      <c r="G928">
        <v>0</v>
      </c>
      <c r="H928">
        <f t="shared" si="14"/>
        <v>2</v>
      </c>
    </row>
    <row r="929" spans="1:8">
      <c r="A929">
        <v>5255</v>
      </c>
      <c r="C929">
        <v>0</v>
      </c>
      <c r="D929">
        <v>0</v>
      </c>
      <c r="E929">
        <v>2</v>
      </c>
      <c r="F929">
        <v>0</v>
      </c>
      <c r="G929">
        <v>0</v>
      </c>
      <c r="H929">
        <f t="shared" si="14"/>
        <v>2</v>
      </c>
    </row>
    <row r="930" spans="1:8">
      <c r="A930">
        <v>5276</v>
      </c>
      <c r="C930">
        <v>0</v>
      </c>
      <c r="D930">
        <v>1</v>
      </c>
      <c r="E930">
        <v>0</v>
      </c>
      <c r="F930">
        <v>1</v>
      </c>
      <c r="G930">
        <v>0</v>
      </c>
      <c r="H930">
        <f t="shared" si="14"/>
        <v>2</v>
      </c>
    </row>
    <row r="931" spans="1:8">
      <c r="A931">
        <v>5278</v>
      </c>
      <c r="C931">
        <v>0</v>
      </c>
      <c r="D931">
        <v>0</v>
      </c>
      <c r="E931">
        <v>2</v>
      </c>
      <c r="F931">
        <v>0</v>
      </c>
      <c r="G931">
        <v>0</v>
      </c>
      <c r="H931">
        <f t="shared" si="14"/>
        <v>2</v>
      </c>
    </row>
    <row r="932" spans="1:8">
      <c r="A932">
        <v>5287</v>
      </c>
      <c r="C932">
        <v>0</v>
      </c>
      <c r="D932">
        <v>0</v>
      </c>
      <c r="E932">
        <v>0</v>
      </c>
      <c r="F932">
        <v>1</v>
      </c>
      <c r="G932">
        <v>1</v>
      </c>
      <c r="H932">
        <f t="shared" si="14"/>
        <v>2</v>
      </c>
    </row>
    <row r="933" spans="1:8">
      <c r="A933">
        <v>5302</v>
      </c>
      <c r="C933">
        <v>1</v>
      </c>
      <c r="D933">
        <v>1</v>
      </c>
      <c r="E933">
        <v>0</v>
      </c>
      <c r="F933">
        <v>0</v>
      </c>
      <c r="G933">
        <v>0</v>
      </c>
      <c r="H933">
        <f t="shared" si="14"/>
        <v>2</v>
      </c>
    </row>
    <row r="934" spans="1:8">
      <c r="A934">
        <v>5309</v>
      </c>
      <c r="C934">
        <v>0</v>
      </c>
      <c r="D934">
        <v>1</v>
      </c>
      <c r="E934">
        <v>0</v>
      </c>
      <c r="F934">
        <v>1</v>
      </c>
      <c r="G934">
        <v>0</v>
      </c>
      <c r="H934">
        <f t="shared" si="14"/>
        <v>2</v>
      </c>
    </row>
    <row r="935" spans="1:8">
      <c r="A935">
        <v>5310</v>
      </c>
      <c r="C935">
        <v>0</v>
      </c>
      <c r="D935">
        <v>1</v>
      </c>
      <c r="E935">
        <v>1</v>
      </c>
      <c r="F935">
        <v>0</v>
      </c>
      <c r="G935">
        <v>0</v>
      </c>
      <c r="H935">
        <f t="shared" si="14"/>
        <v>2</v>
      </c>
    </row>
    <row r="936" spans="1:8">
      <c r="A936">
        <v>5317</v>
      </c>
      <c r="C936">
        <v>0</v>
      </c>
      <c r="D936">
        <v>1</v>
      </c>
      <c r="E936">
        <v>0</v>
      </c>
      <c r="F936">
        <v>1</v>
      </c>
      <c r="G936">
        <v>0</v>
      </c>
      <c r="H936">
        <f t="shared" si="14"/>
        <v>2</v>
      </c>
    </row>
    <row r="937" spans="1:8">
      <c r="A937">
        <v>5321</v>
      </c>
      <c r="C937">
        <v>0</v>
      </c>
      <c r="D937">
        <v>1</v>
      </c>
      <c r="E937">
        <v>0</v>
      </c>
      <c r="F937">
        <v>1</v>
      </c>
      <c r="G937">
        <v>0</v>
      </c>
      <c r="H937">
        <f t="shared" si="14"/>
        <v>2</v>
      </c>
    </row>
    <row r="938" spans="1:8">
      <c r="A938">
        <v>5355</v>
      </c>
      <c r="C938">
        <v>0</v>
      </c>
      <c r="D938">
        <v>1</v>
      </c>
      <c r="E938">
        <v>0</v>
      </c>
      <c r="F938">
        <v>1</v>
      </c>
      <c r="G938">
        <v>0</v>
      </c>
      <c r="H938">
        <f t="shared" si="14"/>
        <v>2</v>
      </c>
    </row>
    <row r="939" spans="1:8">
      <c r="A939">
        <v>5386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5392</v>
      </c>
      <c r="C940">
        <v>0</v>
      </c>
      <c r="D940">
        <v>0</v>
      </c>
      <c r="E940">
        <v>0</v>
      </c>
      <c r="F940">
        <v>1</v>
      </c>
      <c r="G940">
        <v>1</v>
      </c>
      <c r="H940">
        <f t="shared" si="14"/>
        <v>2</v>
      </c>
    </row>
    <row r="941" spans="1:8">
      <c r="A941">
        <v>5395</v>
      </c>
      <c r="C941">
        <v>0</v>
      </c>
      <c r="D941">
        <v>1</v>
      </c>
      <c r="E941">
        <v>0</v>
      </c>
      <c r="F941">
        <v>1</v>
      </c>
      <c r="G941">
        <v>0</v>
      </c>
      <c r="H941">
        <f t="shared" si="14"/>
        <v>2</v>
      </c>
    </row>
    <row r="942" spans="1:8">
      <c r="A942">
        <v>5398</v>
      </c>
      <c r="C942">
        <v>0</v>
      </c>
      <c r="D942">
        <v>1</v>
      </c>
      <c r="E942">
        <v>0</v>
      </c>
      <c r="F942">
        <v>1</v>
      </c>
      <c r="G942">
        <v>0</v>
      </c>
      <c r="H942">
        <f t="shared" si="14"/>
        <v>2</v>
      </c>
    </row>
    <row r="943" spans="1:8">
      <c r="A943">
        <v>5426</v>
      </c>
      <c r="C943">
        <v>0</v>
      </c>
      <c r="D943">
        <v>1</v>
      </c>
      <c r="E943">
        <v>0</v>
      </c>
      <c r="F943">
        <v>1</v>
      </c>
      <c r="G943">
        <v>0</v>
      </c>
      <c r="H943">
        <f t="shared" si="14"/>
        <v>2</v>
      </c>
    </row>
    <row r="944" spans="1:8">
      <c r="A944">
        <v>5464</v>
      </c>
      <c r="C944">
        <v>0</v>
      </c>
      <c r="D944">
        <v>1</v>
      </c>
      <c r="E944">
        <v>0</v>
      </c>
      <c r="F944">
        <v>1</v>
      </c>
      <c r="G944">
        <v>0</v>
      </c>
      <c r="H944">
        <f t="shared" si="14"/>
        <v>2</v>
      </c>
    </row>
    <row r="945" spans="1:8">
      <c r="A945">
        <v>5465</v>
      </c>
      <c r="C945">
        <v>0</v>
      </c>
      <c r="D945">
        <v>0</v>
      </c>
      <c r="E945">
        <v>1</v>
      </c>
      <c r="F945">
        <v>1</v>
      </c>
      <c r="G945">
        <v>0</v>
      </c>
      <c r="H945">
        <f t="shared" si="14"/>
        <v>2</v>
      </c>
    </row>
    <row r="946" spans="1:8">
      <c r="A946">
        <v>5468</v>
      </c>
      <c r="C946">
        <v>0</v>
      </c>
      <c r="D946">
        <v>1</v>
      </c>
      <c r="E946">
        <v>0</v>
      </c>
      <c r="F946">
        <v>0</v>
      </c>
      <c r="G946">
        <v>1</v>
      </c>
      <c r="H946">
        <f t="shared" si="14"/>
        <v>2</v>
      </c>
    </row>
    <row r="947" spans="1:8">
      <c r="A947">
        <v>5487</v>
      </c>
      <c r="C947">
        <v>0</v>
      </c>
      <c r="D947">
        <v>1</v>
      </c>
      <c r="E947">
        <v>0</v>
      </c>
      <c r="F947">
        <v>1</v>
      </c>
      <c r="G947">
        <v>0</v>
      </c>
      <c r="H947">
        <f t="shared" si="14"/>
        <v>2</v>
      </c>
    </row>
    <row r="948" spans="1:8">
      <c r="A948">
        <v>5488</v>
      </c>
      <c r="C948">
        <v>0</v>
      </c>
      <c r="D948">
        <v>0</v>
      </c>
      <c r="E948">
        <v>1</v>
      </c>
      <c r="F948">
        <v>1</v>
      </c>
      <c r="G948">
        <v>0</v>
      </c>
      <c r="H948">
        <f t="shared" si="14"/>
        <v>2</v>
      </c>
    </row>
    <row r="949" spans="1:8">
      <c r="A949">
        <v>5489</v>
      </c>
      <c r="C949">
        <v>0</v>
      </c>
      <c r="D949">
        <v>1</v>
      </c>
      <c r="E949">
        <v>0</v>
      </c>
      <c r="F949">
        <v>1</v>
      </c>
      <c r="G949">
        <v>0</v>
      </c>
      <c r="H949">
        <f t="shared" si="14"/>
        <v>2</v>
      </c>
    </row>
    <row r="950" spans="1:8">
      <c r="A950">
        <v>5491</v>
      </c>
      <c r="C950">
        <v>0</v>
      </c>
      <c r="D950">
        <v>1</v>
      </c>
      <c r="E950">
        <v>0</v>
      </c>
      <c r="F950">
        <v>1</v>
      </c>
      <c r="G950">
        <v>0</v>
      </c>
      <c r="H950">
        <f t="shared" si="14"/>
        <v>2</v>
      </c>
    </row>
    <row r="951" spans="1:8">
      <c r="A951">
        <v>5493</v>
      </c>
      <c r="C951">
        <v>0</v>
      </c>
      <c r="D951">
        <v>1</v>
      </c>
      <c r="E951">
        <v>1</v>
      </c>
      <c r="F951">
        <v>0</v>
      </c>
      <c r="G951">
        <v>0</v>
      </c>
      <c r="H951">
        <f t="shared" si="14"/>
        <v>2</v>
      </c>
    </row>
    <row r="952" spans="1:8">
      <c r="A952">
        <v>5519</v>
      </c>
      <c r="C952">
        <v>0</v>
      </c>
      <c r="D952">
        <v>1</v>
      </c>
      <c r="E952">
        <v>0</v>
      </c>
      <c r="F952">
        <v>1</v>
      </c>
      <c r="G952">
        <v>0</v>
      </c>
      <c r="H952">
        <f t="shared" si="14"/>
        <v>2</v>
      </c>
    </row>
    <row r="953" spans="1:8">
      <c r="A953">
        <v>5530</v>
      </c>
      <c r="C953">
        <v>0</v>
      </c>
      <c r="D953">
        <v>1</v>
      </c>
      <c r="E953">
        <v>0</v>
      </c>
      <c r="F953">
        <v>1</v>
      </c>
      <c r="G953">
        <v>0</v>
      </c>
      <c r="H953">
        <f t="shared" si="14"/>
        <v>2</v>
      </c>
    </row>
    <row r="954" spans="1:8">
      <c r="A954">
        <v>5534</v>
      </c>
      <c r="C954">
        <v>0</v>
      </c>
      <c r="D954">
        <v>1</v>
      </c>
      <c r="E954">
        <v>0</v>
      </c>
      <c r="F954">
        <v>1</v>
      </c>
      <c r="G954">
        <v>0</v>
      </c>
      <c r="H954">
        <f t="shared" si="14"/>
        <v>2</v>
      </c>
    </row>
    <row r="955" spans="1:8">
      <c r="A955">
        <v>5536</v>
      </c>
      <c r="C955">
        <v>0</v>
      </c>
      <c r="D955">
        <v>1</v>
      </c>
      <c r="E955">
        <v>0</v>
      </c>
      <c r="F955">
        <v>1</v>
      </c>
      <c r="G955">
        <v>0</v>
      </c>
      <c r="H955">
        <f t="shared" si="14"/>
        <v>2</v>
      </c>
    </row>
    <row r="956" spans="1:8">
      <c r="A956">
        <v>5603</v>
      </c>
      <c r="C956">
        <v>0</v>
      </c>
      <c r="D956">
        <v>1</v>
      </c>
      <c r="E956">
        <v>0</v>
      </c>
      <c r="F956">
        <v>1</v>
      </c>
      <c r="G956">
        <v>0</v>
      </c>
      <c r="H956">
        <f t="shared" si="14"/>
        <v>2</v>
      </c>
    </row>
    <row r="957" spans="1:8">
      <c r="A957">
        <v>5608</v>
      </c>
      <c r="C957">
        <v>0</v>
      </c>
      <c r="D957">
        <v>1</v>
      </c>
      <c r="E957">
        <v>0</v>
      </c>
      <c r="F957">
        <v>1</v>
      </c>
      <c r="G957">
        <v>0</v>
      </c>
      <c r="H957">
        <f t="shared" si="14"/>
        <v>2</v>
      </c>
    </row>
    <row r="958" spans="1:8">
      <c r="A958">
        <v>5701</v>
      </c>
      <c r="C958">
        <v>0</v>
      </c>
      <c r="D958">
        <v>0</v>
      </c>
      <c r="E958">
        <v>1</v>
      </c>
      <c r="F958">
        <v>1</v>
      </c>
      <c r="G958">
        <v>0</v>
      </c>
      <c r="H958">
        <f t="shared" si="14"/>
        <v>2</v>
      </c>
    </row>
    <row r="959" spans="1:8">
      <c r="A959">
        <v>5903</v>
      </c>
      <c r="C959">
        <v>1</v>
      </c>
      <c r="D959">
        <v>1</v>
      </c>
      <c r="E959">
        <v>0</v>
      </c>
      <c r="F959">
        <v>0</v>
      </c>
      <c r="G959">
        <v>0</v>
      </c>
      <c r="H959">
        <f t="shared" si="14"/>
        <v>2</v>
      </c>
    </row>
    <row r="960" spans="1:8">
      <c r="A960">
        <v>5905</v>
      </c>
      <c r="C960">
        <v>0</v>
      </c>
      <c r="D960">
        <v>1</v>
      </c>
      <c r="E960">
        <v>0</v>
      </c>
      <c r="F960">
        <v>1</v>
      </c>
      <c r="G960">
        <v>0</v>
      </c>
      <c r="H960">
        <f t="shared" si="14"/>
        <v>2</v>
      </c>
    </row>
    <row r="961" spans="1:8">
      <c r="A961">
        <v>6104</v>
      </c>
      <c r="C961">
        <v>0</v>
      </c>
      <c r="D961">
        <v>1</v>
      </c>
      <c r="E961">
        <v>0</v>
      </c>
      <c r="F961">
        <v>1</v>
      </c>
      <c r="G961">
        <v>0</v>
      </c>
      <c r="H961">
        <f t="shared" si="14"/>
        <v>2</v>
      </c>
    </row>
    <row r="962" spans="1:8">
      <c r="A962">
        <v>6105</v>
      </c>
      <c r="C962">
        <v>0</v>
      </c>
      <c r="D962">
        <v>1</v>
      </c>
      <c r="E962">
        <v>0</v>
      </c>
      <c r="F962">
        <v>1</v>
      </c>
      <c r="G962">
        <v>0</v>
      </c>
      <c r="H962">
        <f t="shared" ref="H962:H1025" si="15">SUM(C962:G962)</f>
        <v>2</v>
      </c>
    </row>
    <row r="963" spans="1:8">
      <c r="A963">
        <v>6109</v>
      </c>
      <c r="C963">
        <v>1</v>
      </c>
      <c r="D963">
        <v>1</v>
      </c>
      <c r="E963">
        <v>0</v>
      </c>
      <c r="F963">
        <v>0</v>
      </c>
      <c r="G963">
        <v>0</v>
      </c>
      <c r="H963">
        <f t="shared" si="15"/>
        <v>2</v>
      </c>
    </row>
    <row r="964" spans="1:8">
      <c r="A964">
        <v>6112</v>
      </c>
      <c r="C964">
        <v>0</v>
      </c>
      <c r="D964">
        <v>0</v>
      </c>
      <c r="E964">
        <v>1</v>
      </c>
      <c r="F964">
        <v>1</v>
      </c>
      <c r="G964">
        <v>0</v>
      </c>
      <c r="H964">
        <f t="shared" si="15"/>
        <v>2</v>
      </c>
    </row>
    <row r="965" spans="1:8">
      <c r="A965">
        <v>6113</v>
      </c>
      <c r="C965">
        <v>0</v>
      </c>
      <c r="D965">
        <v>1</v>
      </c>
      <c r="E965">
        <v>1</v>
      </c>
      <c r="F965">
        <v>0</v>
      </c>
      <c r="G965">
        <v>0</v>
      </c>
      <c r="H965">
        <f t="shared" si="15"/>
        <v>2</v>
      </c>
    </row>
    <row r="966" spans="1:8">
      <c r="A966">
        <v>6114</v>
      </c>
      <c r="C966">
        <v>0</v>
      </c>
      <c r="D966">
        <v>1</v>
      </c>
      <c r="E966">
        <v>0</v>
      </c>
      <c r="F966">
        <v>1</v>
      </c>
      <c r="G966">
        <v>0</v>
      </c>
      <c r="H966">
        <f t="shared" si="15"/>
        <v>2</v>
      </c>
    </row>
    <row r="967" spans="1:8">
      <c r="A967">
        <v>6116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6118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6121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6125</v>
      </c>
      <c r="C970">
        <v>0</v>
      </c>
      <c r="D970">
        <v>0</v>
      </c>
      <c r="E970">
        <v>2</v>
      </c>
      <c r="F970">
        <v>0</v>
      </c>
      <c r="G970">
        <v>0</v>
      </c>
      <c r="H970">
        <f t="shared" si="15"/>
        <v>2</v>
      </c>
    </row>
    <row r="971" spans="1:8">
      <c r="A971">
        <v>6130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6134</v>
      </c>
      <c r="C972">
        <v>1</v>
      </c>
      <c r="D972">
        <v>1</v>
      </c>
      <c r="E972">
        <v>0</v>
      </c>
      <c r="F972">
        <v>0</v>
      </c>
      <c r="G972">
        <v>0</v>
      </c>
      <c r="H972">
        <f t="shared" si="15"/>
        <v>2</v>
      </c>
    </row>
    <row r="973" spans="1:8">
      <c r="A973">
        <v>6139</v>
      </c>
      <c r="C973">
        <v>0</v>
      </c>
      <c r="D973">
        <v>1</v>
      </c>
      <c r="E973">
        <v>1</v>
      </c>
      <c r="F973">
        <v>0</v>
      </c>
      <c r="G973">
        <v>0</v>
      </c>
      <c r="H973">
        <f t="shared" si="15"/>
        <v>2</v>
      </c>
    </row>
    <row r="974" spans="1:8">
      <c r="A974">
        <v>6140</v>
      </c>
      <c r="C974">
        <v>0</v>
      </c>
      <c r="D974">
        <v>1</v>
      </c>
      <c r="E974">
        <v>1</v>
      </c>
      <c r="F974">
        <v>0</v>
      </c>
      <c r="G974">
        <v>0</v>
      </c>
      <c r="H974">
        <f t="shared" si="15"/>
        <v>2</v>
      </c>
    </row>
    <row r="975" spans="1:8">
      <c r="A975">
        <v>6142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6144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6145</v>
      </c>
      <c r="C977">
        <v>0</v>
      </c>
      <c r="D977">
        <v>1</v>
      </c>
      <c r="E977">
        <v>0</v>
      </c>
      <c r="F977">
        <v>1</v>
      </c>
      <c r="G977">
        <v>0</v>
      </c>
      <c r="H977">
        <f t="shared" si="15"/>
        <v>2</v>
      </c>
    </row>
    <row r="978" spans="1:8">
      <c r="A978">
        <v>6146</v>
      </c>
      <c r="C978">
        <v>0</v>
      </c>
      <c r="D978">
        <v>1</v>
      </c>
      <c r="E978">
        <v>0</v>
      </c>
      <c r="F978">
        <v>1</v>
      </c>
      <c r="G978">
        <v>0</v>
      </c>
      <c r="H978">
        <f t="shared" si="15"/>
        <v>2</v>
      </c>
    </row>
    <row r="979" spans="1:8">
      <c r="A979">
        <v>6150</v>
      </c>
      <c r="C979">
        <v>0</v>
      </c>
      <c r="D979">
        <v>1</v>
      </c>
      <c r="E979">
        <v>0</v>
      </c>
      <c r="F979">
        <v>1</v>
      </c>
      <c r="G979">
        <v>0</v>
      </c>
      <c r="H979">
        <f t="shared" si="15"/>
        <v>2</v>
      </c>
    </row>
    <row r="980" spans="1:8">
      <c r="A980">
        <v>6151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6154</v>
      </c>
      <c r="C981">
        <v>0</v>
      </c>
      <c r="D981">
        <v>1</v>
      </c>
      <c r="E981">
        <v>0</v>
      </c>
      <c r="F981">
        <v>1</v>
      </c>
      <c r="G981">
        <v>0</v>
      </c>
      <c r="H981">
        <f t="shared" si="15"/>
        <v>2</v>
      </c>
    </row>
    <row r="982" spans="1:8">
      <c r="A982">
        <v>6156</v>
      </c>
      <c r="C982">
        <v>1</v>
      </c>
      <c r="D982">
        <v>1</v>
      </c>
      <c r="E982">
        <v>0</v>
      </c>
      <c r="F982">
        <v>0</v>
      </c>
      <c r="G982">
        <v>0</v>
      </c>
      <c r="H982">
        <f t="shared" si="15"/>
        <v>2</v>
      </c>
    </row>
    <row r="983" spans="1:8">
      <c r="A983">
        <v>6161</v>
      </c>
      <c r="C983">
        <v>0</v>
      </c>
      <c r="D983">
        <v>1</v>
      </c>
      <c r="E983">
        <v>1</v>
      </c>
      <c r="F983">
        <v>0</v>
      </c>
      <c r="G983">
        <v>0</v>
      </c>
      <c r="H983">
        <f t="shared" si="15"/>
        <v>2</v>
      </c>
    </row>
    <row r="984" spans="1:8">
      <c r="A984">
        <v>6164</v>
      </c>
      <c r="C984">
        <v>0</v>
      </c>
      <c r="D984">
        <v>0</v>
      </c>
      <c r="E984">
        <v>1</v>
      </c>
      <c r="F984">
        <v>1</v>
      </c>
      <c r="G984">
        <v>0</v>
      </c>
      <c r="H984">
        <f t="shared" si="15"/>
        <v>2</v>
      </c>
    </row>
    <row r="985" spans="1:8">
      <c r="A985">
        <v>6165</v>
      </c>
      <c r="C985">
        <v>0</v>
      </c>
      <c r="D985">
        <v>0</v>
      </c>
      <c r="E985">
        <v>1</v>
      </c>
      <c r="F985">
        <v>1</v>
      </c>
      <c r="G985">
        <v>0</v>
      </c>
      <c r="H985">
        <f t="shared" si="15"/>
        <v>2</v>
      </c>
    </row>
    <row r="986" spans="1:8">
      <c r="A986">
        <v>6166</v>
      </c>
      <c r="C986">
        <v>0</v>
      </c>
      <c r="D986">
        <v>0</v>
      </c>
      <c r="E986">
        <v>0</v>
      </c>
      <c r="F986">
        <v>1</v>
      </c>
      <c r="G986">
        <v>1</v>
      </c>
      <c r="H986">
        <f t="shared" si="15"/>
        <v>2</v>
      </c>
    </row>
    <row r="987" spans="1:8">
      <c r="A987">
        <v>6180</v>
      </c>
      <c r="C987">
        <v>0</v>
      </c>
      <c r="D987">
        <v>0</v>
      </c>
      <c r="E987">
        <v>2</v>
      </c>
      <c r="F987">
        <v>0</v>
      </c>
      <c r="G987">
        <v>0</v>
      </c>
      <c r="H987">
        <f t="shared" si="15"/>
        <v>2</v>
      </c>
    </row>
    <row r="988" spans="1:8">
      <c r="A988">
        <v>6190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6199</v>
      </c>
      <c r="C989">
        <v>0</v>
      </c>
      <c r="D989">
        <v>0</v>
      </c>
      <c r="E989">
        <v>1</v>
      </c>
      <c r="F989">
        <v>1</v>
      </c>
      <c r="G989">
        <v>0</v>
      </c>
      <c r="H989">
        <f t="shared" si="15"/>
        <v>2</v>
      </c>
    </row>
    <row r="990" spans="1:8">
      <c r="A990">
        <v>6204</v>
      </c>
      <c r="C990">
        <v>0</v>
      </c>
      <c r="D990">
        <v>1</v>
      </c>
      <c r="E990">
        <v>0</v>
      </c>
      <c r="F990">
        <v>1</v>
      </c>
      <c r="G990">
        <v>0</v>
      </c>
      <c r="H990">
        <f t="shared" si="15"/>
        <v>2</v>
      </c>
    </row>
    <row r="991" spans="1:8">
      <c r="A991">
        <v>6206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6210</v>
      </c>
      <c r="C992">
        <v>0</v>
      </c>
      <c r="D992">
        <v>1</v>
      </c>
      <c r="E992">
        <v>0</v>
      </c>
      <c r="F992">
        <v>1</v>
      </c>
      <c r="G992">
        <v>0</v>
      </c>
      <c r="H992">
        <f t="shared" si="15"/>
        <v>2</v>
      </c>
    </row>
    <row r="993" spans="1:8">
      <c r="A993">
        <v>6212</v>
      </c>
      <c r="C993">
        <v>0</v>
      </c>
      <c r="D993">
        <v>1</v>
      </c>
      <c r="E993">
        <v>1</v>
      </c>
      <c r="F993">
        <v>0</v>
      </c>
      <c r="G993">
        <v>0</v>
      </c>
      <c r="H993">
        <f t="shared" si="15"/>
        <v>2</v>
      </c>
    </row>
    <row r="994" spans="1:8">
      <c r="A994">
        <v>6216</v>
      </c>
      <c r="C994">
        <v>0</v>
      </c>
      <c r="D994">
        <v>1</v>
      </c>
      <c r="E994">
        <v>0</v>
      </c>
      <c r="F994">
        <v>1</v>
      </c>
      <c r="G994">
        <v>0</v>
      </c>
      <c r="H994">
        <f t="shared" si="15"/>
        <v>2</v>
      </c>
    </row>
    <row r="995" spans="1:8">
      <c r="A995">
        <v>6218</v>
      </c>
      <c r="C995">
        <v>1</v>
      </c>
      <c r="D995">
        <v>1</v>
      </c>
      <c r="E995">
        <v>0</v>
      </c>
      <c r="F995">
        <v>0</v>
      </c>
      <c r="G995">
        <v>0</v>
      </c>
      <c r="H995">
        <f t="shared" si="15"/>
        <v>2</v>
      </c>
    </row>
    <row r="996" spans="1:8">
      <c r="A996">
        <v>6221</v>
      </c>
      <c r="C996">
        <v>0</v>
      </c>
      <c r="D996">
        <v>1</v>
      </c>
      <c r="E996">
        <v>1</v>
      </c>
      <c r="F996">
        <v>0</v>
      </c>
      <c r="G996">
        <v>0</v>
      </c>
      <c r="H996">
        <f t="shared" si="15"/>
        <v>2</v>
      </c>
    </row>
    <row r="997" spans="1:8">
      <c r="A997">
        <v>6224</v>
      </c>
      <c r="C997">
        <v>0</v>
      </c>
      <c r="D997">
        <v>1</v>
      </c>
      <c r="E997">
        <v>0</v>
      </c>
      <c r="F997">
        <v>1</v>
      </c>
      <c r="G997">
        <v>0</v>
      </c>
      <c r="H997">
        <f t="shared" si="15"/>
        <v>2</v>
      </c>
    </row>
    <row r="998" spans="1:8">
      <c r="A998">
        <v>6226</v>
      </c>
      <c r="C998">
        <v>0</v>
      </c>
      <c r="D998">
        <v>1</v>
      </c>
      <c r="E998">
        <v>0</v>
      </c>
      <c r="F998">
        <v>1</v>
      </c>
      <c r="G998">
        <v>0</v>
      </c>
      <c r="H998">
        <f t="shared" si="15"/>
        <v>2</v>
      </c>
    </row>
    <row r="999" spans="1:8">
      <c r="A999">
        <v>6227</v>
      </c>
      <c r="C999">
        <v>0</v>
      </c>
      <c r="D999">
        <v>1</v>
      </c>
      <c r="E999">
        <v>0</v>
      </c>
      <c r="F999">
        <v>0</v>
      </c>
      <c r="G999">
        <v>1</v>
      </c>
      <c r="H999">
        <f t="shared" si="15"/>
        <v>2</v>
      </c>
    </row>
    <row r="1000" spans="1:8">
      <c r="A1000">
        <v>6231</v>
      </c>
      <c r="C1000">
        <v>0</v>
      </c>
      <c r="D1000">
        <v>0</v>
      </c>
      <c r="E1000">
        <v>1</v>
      </c>
      <c r="F1000">
        <v>1</v>
      </c>
      <c r="G1000">
        <v>0</v>
      </c>
      <c r="H1000">
        <f t="shared" si="15"/>
        <v>2</v>
      </c>
    </row>
    <row r="1001" spans="1:8">
      <c r="A1001">
        <v>6233</v>
      </c>
      <c r="C1001">
        <v>1</v>
      </c>
      <c r="D1001">
        <v>1</v>
      </c>
      <c r="E1001">
        <v>0</v>
      </c>
      <c r="F1001">
        <v>0</v>
      </c>
      <c r="G1001">
        <v>0</v>
      </c>
      <c r="H1001">
        <f t="shared" si="15"/>
        <v>2</v>
      </c>
    </row>
    <row r="1002" spans="1:8">
      <c r="A1002">
        <v>6235</v>
      </c>
      <c r="C1002">
        <v>0</v>
      </c>
      <c r="D1002">
        <v>1</v>
      </c>
      <c r="E1002">
        <v>1</v>
      </c>
      <c r="F1002">
        <v>0</v>
      </c>
      <c r="G1002">
        <v>0</v>
      </c>
      <c r="H1002">
        <f t="shared" si="15"/>
        <v>2</v>
      </c>
    </row>
    <row r="1003" spans="1:8">
      <c r="A1003">
        <v>6237</v>
      </c>
      <c r="C1003">
        <v>1</v>
      </c>
      <c r="D1003">
        <v>1</v>
      </c>
      <c r="E1003">
        <v>0</v>
      </c>
      <c r="F1003">
        <v>0</v>
      </c>
      <c r="G1003">
        <v>0</v>
      </c>
      <c r="H1003">
        <f t="shared" si="15"/>
        <v>2</v>
      </c>
    </row>
    <row r="1004" spans="1:8">
      <c r="A1004">
        <v>6240</v>
      </c>
      <c r="C1004">
        <v>1</v>
      </c>
      <c r="D1004">
        <v>1</v>
      </c>
      <c r="E1004">
        <v>0</v>
      </c>
      <c r="F1004">
        <v>0</v>
      </c>
      <c r="G1004">
        <v>0</v>
      </c>
      <c r="H1004">
        <f t="shared" si="15"/>
        <v>2</v>
      </c>
    </row>
    <row r="1005" spans="1:8">
      <c r="A1005">
        <v>6245</v>
      </c>
      <c r="C1005">
        <v>0</v>
      </c>
      <c r="D1005">
        <v>1</v>
      </c>
      <c r="E1005">
        <v>0</v>
      </c>
      <c r="F1005">
        <v>1</v>
      </c>
      <c r="G1005">
        <v>0</v>
      </c>
      <c r="H1005">
        <f t="shared" si="15"/>
        <v>2</v>
      </c>
    </row>
    <row r="1006" spans="1:8">
      <c r="A1006">
        <v>6248</v>
      </c>
      <c r="C1006">
        <v>0</v>
      </c>
      <c r="D1006">
        <v>1</v>
      </c>
      <c r="E1006">
        <v>0</v>
      </c>
      <c r="F1006">
        <v>1</v>
      </c>
      <c r="G1006">
        <v>0</v>
      </c>
      <c r="H1006">
        <f t="shared" si="15"/>
        <v>2</v>
      </c>
    </row>
    <row r="1007" spans="1:8">
      <c r="A1007">
        <v>6251</v>
      </c>
      <c r="C1007">
        <v>0</v>
      </c>
      <c r="D1007">
        <v>1</v>
      </c>
      <c r="E1007">
        <v>0</v>
      </c>
      <c r="F1007">
        <v>1</v>
      </c>
      <c r="G1007">
        <v>0</v>
      </c>
      <c r="H1007">
        <f t="shared" si="15"/>
        <v>2</v>
      </c>
    </row>
    <row r="1008" spans="1:8">
      <c r="A1008">
        <v>6257</v>
      </c>
      <c r="C1008">
        <v>0</v>
      </c>
      <c r="D1008">
        <v>0</v>
      </c>
      <c r="E1008">
        <v>1</v>
      </c>
      <c r="F1008">
        <v>1</v>
      </c>
      <c r="G1008">
        <v>0</v>
      </c>
      <c r="H1008">
        <f t="shared" si="15"/>
        <v>2</v>
      </c>
    </row>
    <row r="1009" spans="1:8">
      <c r="A1009">
        <v>6263</v>
      </c>
      <c r="C1009">
        <v>0</v>
      </c>
      <c r="D1009">
        <v>1</v>
      </c>
      <c r="E1009">
        <v>0</v>
      </c>
      <c r="F1009">
        <v>1</v>
      </c>
      <c r="G1009">
        <v>0</v>
      </c>
      <c r="H1009">
        <f t="shared" si="15"/>
        <v>2</v>
      </c>
    </row>
    <row r="1010" spans="1:8">
      <c r="A1010">
        <v>6269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6271</v>
      </c>
      <c r="C1011">
        <v>0</v>
      </c>
      <c r="D1011">
        <v>1</v>
      </c>
      <c r="E1011">
        <v>0</v>
      </c>
      <c r="F1011">
        <v>1</v>
      </c>
      <c r="G1011">
        <v>0</v>
      </c>
      <c r="H1011">
        <f t="shared" si="15"/>
        <v>2</v>
      </c>
    </row>
    <row r="1012" spans="1:8">
      <c r="A1012">
        <v>6276</v>
      </c>
      <c r="C1012">
        <v>0</v>
      </c>
      <c r="D1012">
        <v>0</v>
      </c>
      <c r="E1012">
        <v>1</v>
      </c>
      <c r="F1012">
        <v>1</v>
      </c>
      <c r="G1012">
        <v>0</v>
      </c>
      <c r="H1012">
        <f t="shared" si="15"/>
        <v>2</v>
      </c>
    </row>
    <row r="1013" spans="1:8">
      <c r="A1013">
        <v>6277</v>
      </c>
      <c r="C1013">
        <v>0</v>
      </c>
      <c r="D1013">
        <v>1</v>
      </c>
      <c r="E1013">
        <v>0</v>
      </c>
      <c r="F1013">
        <v>1</v>
      </c>
      <c r="G1013">
        <v>0</v>
      </c>
      <c r="H1013">
        <f t="shared" si="15"/>
        <v>2</v>
      </c>
    </row>
    <row r="1014" spans="1:8">
      <c r="A1014">
        <v>6283</v>
      </c>
      <c r="C1014">
        <v>0</v>
      </c>
      <c r="D1014">
        <v>1</v>
      </c>
      <c r="E1014">
        <v>1</v>
      </c>
      <c r="F1014">
        <v>0</v>
      </c>
      <c r="G1014">
        <v>0</v>
      </c>
      <c r="H1014">
        <f t="shared" si="15"/>
        <v>2</v>
      </c>
    </row>
    <row r="1015" spans="1:8">
      <c r="A1015">
        <v>6289</v>
      </c>
      <c r="C1015">
        <v>0</v>
      </c>
      <c r="D1015">
        <v>0</v>
      </c>
      <c r="E1015">
        <v>2</v>
      </c>
      <c r="F1015">
        <v>0</v>
      </c>
      <c r="G1015">
        <v>0</v>
      </c>
      <c r="H1015">
        <f t="shared" si="15"/>
        <v>2</v>
      </c>
    </row>
    <row r="1016" spans="1:8">
      <c r="A1016">
        <v>6292</v>
      </c>
      <c r="C1016">
        <v>0</v>
      </c>
      <c r="D1016">
        <v>0</v>
      </c>
      <c r="E1016">
        <v>1</v>
      </c>
      <c r="F1016">
        <v>1</v>
      </c>
      <c r="G1016">
        <v>0</v>
      </c>
      <c r="H1016">
        <f t="shared" si="15"/>
        <v>2</v>
      </c>
    </row>
    <row r="1017" spans="1:8">
      <c r="A1017">
        <v>6294</v>
      </c>
      <c r="C1017">
        <v>0</v>
      </c>
      <c r="D1017">
        <v>1</v>
      </c>
      <c r="E1017">
        <v>0</v>
      </c>
      <c r="F1017">
        <v>1</v>
      </c>
      <c r="G1017">
        <v>0</v>
      </c>
      <c r="H1017">
        <f t="shared" si="15"/>
        <v>2</v>
      </c>
    </row>
    <row r="1018" spans="1:8">
      <c r="A1018">
        <v>6405</v>
      </c>
      <c r="C1018">
        <v>0</v>
      </c>
      <c r="D1018">
        <v>1</v>
      </c>
      <c r="E1018">
        <v>1</v>
      </c>
      <c r="F1018">
        <v>0</v>
      </c>
      <c r="G1018">
        <v>0</v>
      </c>
      <c r="H1018">
        <f t="shared" si="15"/>
        <v>2</v>
      </c>
    </row>
    <row r="1019" spans="1:8">
      <c r="A1019">
        <v>6411</v>
      </c>
      <c r="C1019">
        <v>1</v>
      </c>
      <c r="D1019">
        <v>1</v>
      </c>
      <c r="E1019">
        <v>0</v>
      </c>
      <c r="F1019">
        <v>0</v>
      </c>
      <c r="G1019">
        <v>0</v>
      </c>
      <c r="H1019">
        <f t="shared" si="15"/>
        <v>2</v>
      </c>
    </row>
    <row r="1020" spans="1:8">
      <c r="A1020">
        <v>6415</v>
      </c>
      <c r="C1020">
        <v>0</v>
      </c>
      <c r="D1020">
        <v>1</v>
      </c>
      <c r="E1020">
        <v>0</v>
      </c>
      <c r="F1020">
        <v>1</v>
      </c>
      <c r="G1020">
        <v>0</v>
      </c>
      <c r="H1020">
        <f t="shared" si="15"/>
        <v>2</v>
      </c>
    </row>
    <row r="1021" spans="1:8">
      <c r="A1021">
        <v>6452</v>
      </c>
      <c r="C1021">
        <v>0</v>
      </c>
      <c r="D1021">
        <v>1</v>
      </c>
      <c r="E1021">
        <v>0</v>
      </c>
      <c r="F1021">
        <v>1</v>
      </c>
      <c r="G1021">
        <v>0</v>
      </c>
      <c r="H1021">
        <f t="shared" si="15"/>
        <v>2</v>
      </c>
    </row>
    <row r="1022" spans="1:8">
      <c r="A1022">
        <v>6488</v>
      </c>
      <c r="C1022">
        <v>0</v>
      </c>
      <c r="D1022">
        <v>1</v>
      </c>
      <c r="E1022">
        <v>0</v>
      </c>
      <c r="F1022">
        <v>1</v>
      </c>
      <c r="G1022">
        <v>0</v>
      </c>
      <c r="H1022">
        <f t="shared" si="15"/>
        <v>2</v>
      </c>
    </row>
    <row r="1023" spans="1:8">
      <c r="A1023">
        <v>6504</v>
      </c>
      <c r="C1023">
        <v>0</v>
      </c>
      <c r="D1023">
        <v>1</v>
      </c>
      <c r="E1023">
        <v>0</v>
      </c>
      <c r="F1023">
        <v>1</v>
      </c>
      <c r="G1023">
        <v>0</v>
      </c>
      <c r="H1023">
        <f t="shared" si="15"/>
        <v>2</v>
      </c>
    </row>
    <row r="1024" spans="1:8">
      <c r="A1024">
        <v>6505</v>
      </c>
      <c r="C1024">
        <v>0</v>
      </c>
      <c r="D1024">
        <v>1</v>
      </c>
      <c r="E1024">
        <v>0</v>
      </c>
      <c r="F1024">
        <v>1</v>
      </c>
      <c r="G1024">
        <v>0</v>
      </c>
      <c r="H1024">
        <f t="shared" si="15"/>
        <v>2</v>
      </c>
    </row>
    <row r="1025" spans="1:8">
      <c r="A1025">
        <v>6603</v>
      </c>
      <c r="C1025">
        <v>0</v>
      </c>
      <c r="D1025">
        <v>1</v>
      </c>
      <c r="E1025">
        <v>1</v>
      </c>
      <c r="F1025">
        <v>0</v>
      </c>
      <c r="G1025">
        <v>0</v>
      </c>
      <c r="H1025">
        <f t="shared" si="15"/>
        <v>2</v>
      </c>
    </row>
    <row r="1026" spans="1:8">
      <c r="A1026">
        <v>6609</v>
      </c>
      <c r="C1026">
        <v>1</v>
      </c>
      <c r="D1026">
        <v>1</v>
      </c>
      <c r="E1026">
        <v>0</v>
      </c>
      <c r="F1026">
        <v>0</v>
      </c>
      <c r="G1026">
        <v>0</v>
      </c>
      <c r="H1026">
        <f t="shared" ref="H1026:H1089" si="16">SUM(C1026:G1026)</f>
        <v>2</v>
      </c>
    </row>
    <row r="1027" spans="1:8">
      <c r="A1027">
        <v>6702</v>
      </c>
      <c r="C1027">
        <v>0</v>
      </c>
      <c r="D1027">
        <v>1</v>
      </c>
      <c r="E1027">
        <v>1</v>
      </c>
      <c r="F1027">
        <v>0</v>
      </c>
      <c r="G1027">
        <v>0</v>
      </c>
      <c r="H1027">
        <f t="shared" si="16"/>
        <v>2</v>
      </c>
    </row>
    <row r="1028" spans="1:8">
      <c r="A1028">
        <v>8027</v>
      </c>
      <c r="C1028">
        <v>0</v>
      </c>
      <c r="D1028">
        <v>1</v>
      </c>
      <c r="E1028">
        <v>0</v>
      </c>
      <c r="F1028">
        <v>1</v>
      </c>
      <c r="G1028">
        <v>0</v>
      </c>
      <c r="H1028">
        <f t="shared" si="16"/>
        <v>2</v>
      </c>
    </row>
    <row r="1029" spans="1:8">
      <c r="A1029">
        <v>8042</v>
      </c>
      <c r="C1029">
        <v>0</v>
      </c>
      <c r="D1029">
        <v>0</v>
      </c>
      <c r="E1029">
        <v>2</v>
      </c>
      <c r="F1029">
        <v>0</v>
      </c>
      <c r="G1029">
        <v>0</v>
      </c>
      <c r="H1029">
        <f t="shared" si="16"/>
        <v>2</v>
      </c>
    </row>
    <row r="1030" spans="1:8">
      <c r="A1030">
        <v>8046</v>
      </c>
      <c r="C1030">
        <v>0</v>
      </c>
      <c r="D1030">
        <v>1</v>
      </c>
      <c r="E1030">
        <v>0</v>
      </c>
      <c r="F1030">
        <v>1</v>
      </c>
      <c r="G1030">
        <v>0</v>
      </c>
      <c r="H1030">
        <f t="shared" si="16"/>
        <v>2</v>
      </c>
    </row>
    <row r="1031" spans="1:8">
      <c r="A1031">
        <v>8050</v>
      </c>
      <c r="C1031">
        <v>0</v>
      </c>
      <c r="D1031">
        <v>1</v>
      </c>
      <c r="E1031">
        <v>0</v>
      </c>
      <c r="F1031">
        <v>1</v>
      </c>
      <c r="G1031">
        <v>0</v>
      </c>
      <c r="H1031">
        <f t="shared" si="16"/>
        <v>2</v>
      </c>
    </row>
    <row r="1032" spans="1:8">
      <c r="A1032">
        <v>8053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8067</v>
      </c>
      <c r="C1033">
        <v>1</v>
      </c>
      <c r="D1033">
        <v>1</v>
      </c>
      <c r="E1033">
        <v>0</v>
      </c>
      <c r="F1033">
        <v>0</v>
      </c>
      <c r="G1033">
        <v>0</v>
      </c>
      <c r="H1033">
        <f t="shared" si="16"/>
        <v>2</v>
      </c>
    </row>
    <row r="1034" spans="1:8">
      <c r="A1034">
        <v>8072</v>
      </c>
      <c r="C1034">
        <v>0</v>
      </c>
      <c r="D1034">
        <v>1</v>
      </c>
      <c r="E1034">
        <v>0</v>
      </c>
      <c r="F1034">
        <v>1</v>
      </c>
      <c r="G1034">
        <v>0</v>
      </c>
      <c r="H1034">
        <f t="shared" si="16"/>
        <v>2</v>
      </c>
    </row>
    <row r="1035" spans="1:8">
      <c r="A1035">
        <v>8081</v>
      </c>
      <c r="C1035">
        <v>0</v>
      </c>
      <c r="D1035">
        <v>1</v>
      </c>
      <c r="E1035">
        <v>0</v>
      </c>
      <c r="F1035">
        <v>1</v>
      </c>
      <c r="G1035">
        <v>0</v>
      </c>
      <c r="H1035">
        <f t="shared" si="16"/>
        <v>2</v>
      </c>
    </row>
    <row r="1036" spans="1:8">
      <c r="A1036">
        <v>8085</v>
      </c>
      <c r="C1036">
        <v>0</v>
      </c>
      <c r="D1036">
        <v>1</v>
      </c>
      <c r="E1036">
        <v>0</v>
      </c>
      <c r="F1036">
        <v>1</v>
      </c>
      <c r="G1036">
        <v>0</v>
      </c>
      <c r="H1036">
        <f t="shared" si="16"/>
        <v>2</v>
      </c>
    </row>
    <row r="1037" spans="1:8">
      <c r="A1037">
        <v>8087</v>
      </c>
      <c r="C1037">
        <v>0</v>
      </c>
      <c r="D1037">
        <v>1</v>
      </c>
      <c r="E1037">
        <v>1</v>
      </c>
      <c r="F1037">
        <v>0</v>
      </c>
      <c r="G1037">
        <v>0</v>
      </c>
      <c r="H1037">
        <f t="shared" si="16"/>
        <v>2</v>
      </c>
    </row>
    <row r="1038" spans="1:8">
      <c r="A1038">
        <v>8088</v>
      </c>
      <c r="C1038">
        <v>0</v>
      </c>
      <c r="D1038">
        <v>1</v>
      </c>
      <c r="E1038">
        <v>1</v>
      </c>
      <c r="F1038">
        <v>0</v>
      </c>
      <c r="G1038">
        <v>0</v>
      </c>
      <c r="H1038">
        <f t="shared" si="16"/>
        <v>2</v>
      </c>
    </row>
    <row r="1039" spans="1:8">
      <c r="A1039">
        <v>8092</v>
      </c>
      <c r="C1039">
        <v>0</v>
      </c>
      <c r="D1039">
        <v>1</v>
      </c>
      <c r="E1039">
        <v>0</v>
      </c>
      <c r="F1039">
        <v>1</v>
      </c>
      <c r="G1039">
        <v>0</v>
      </c>
      <c r="H1039">
        <f t="shared" si="16"/>
        <v>2</v>
      </c>
    </row>
    <row r="1040" spans="1:8">
      <c r="A1040">
        <v>8111</v>
      </c>
      <c r="C1040">
        <v>0</v>
      </c>
      <c r="D1040">
        <v>1</v>
      </c>
      <c r="E1040">
        <v>0</v>
      </c>
      <c r="F1040">
        <v>1</v>
      </c>
      <c r="G1040">
        <v>0</v>
      </c>
      <c r="H1040">
        <f t="shared" si="16"/>
        <v>2</v>
      </c>
    </row>
    <row r="1041" spans="1:8">
      <c r="A1041">
        <v>8131</v>
      </c>
      <c r="C1041">
        <v>0</v>
      </c>
      <c r="D1041">
        <v>1</v>
      </c>
      <c r="E1041">
        <v>0</v>
      </c>
      <c r="F1041">
        <v>1</v>
      </c>
      <c r="G1041">
        <v>0</v>
      </c>
      <c r="H1041">
        <f t="shared" si="16"/>
        <v>2</v>
      </c>
    </row>
    <row r="1042" spans="1:8">
      <c r="A1042">
        <v>8147</v>
      </c>
      <c r="C1042">
        <v>0</v>
      </c>
      <c r="D1042">
        <v>1</v>
      </c>
      <c r="E1042">
        <v>0</v>
      </c>
      <c r="F1042">
        <v>1</v>
      </c>
      <c r="G1042">
        <v>0</v>
      </c>
      <c r="H1042">
        <f t="shared" si="16"/>
        <v>2</v>
      </c>
    </row>
    <row r="1043" spans="1:8">
      <c r="A1043">
        <v>8150</v>
      </c>
      <c r="C1043">
        <v>0</v>
      </c>
      <c r="D1043">
        <v>1</v>
      </c>
      <c r="E1043">
        <v>0</v>
      </c>
      <c r="F1043">
        <v>1</v>
      </c>
      <c r="G1043">
        <v>0</v>
      </c>
      <c r="H1043">
        <f t="shared" si="16"/>
        <v>2</v>
      </c>
    </row>
    <row r="1044" spans="1:8">
      <c r="A1044">
        <v>8163</v>
      </c>
      <c r="C1044">
        <v>0</v>
      </c>
      <c r="D1044">
        <v>1</v>
      </c>
      <c r="E1044">
        <v>0</v>
      </c>
      <c r="F1044">
        <v>1</v>
      </c>
      <c r="G1044">
        <v>0</v>
      </c>
      <c r="H1044">
        <f t="shared" si="16"/>
        <v>2</v>
      </c>
    </row>
    <row r="1045" spans="1:8">
      <c r="A1045">
        <v>8171</v>
      </c>
      <c r="C1045">
        <v>0</v>
      </c>
      <c r="D1045">
        <v>1</v>
      </c>
      <c r="E1045">
        <v>1</v>
      </c>
      <c r="F1045">
        <v>0</v>
      </c>
      <c r="G1045">
        <v>0</v>
      </c>
      <c r="H1045">
        <f t="shared" si="16"/>
        <v>2</v>
      </c>
    </row>
    <row r="1046" spans="1:8">
      <c r="A1046">
        <v>8182</v>
      </c>
      <c r="C1046">
        <v>0</v>
      </c>
      <c r="D1046">
        <v>1</v>
      </c>
      <c r="E1046">
        <v>0</v>
      </c>
      <c r="F1046">
        <v>1</v>
      </c>
      <c r="G1046">
        <v>0</v>
      </c>
      <c r="H1046">
        <f t="shared" si="16"/>
        <v>2</v>
      </c>
    </row>
    <row r="1047" spans="1:8">
      <c r="A1047">
        <v>8215</v>
      </c>
      <c r="C1047">
        <v>0</v>
      </c>
      <c r="D1047">
        <v>0</v>
      </c>
      <c r="E1047">
        <v>2</v>
      </c>
      <c r="F1047">
        <v>0</v>
      </c>
      <c r="G1047">
        <v>0</v>
      </c>
      <c r="H1047">
        <f t="shared" si="16"/>
        <v>2</v>
      </c>
    </row>
    <row r="1048" spans="1:8">
      <c r="A1048">
        <v>8234</v>
      </c>
      <c r="C1048">
        <v>0</v>
      </c>
      <c r="D1048">
        <v>1</v>
      </c>
      <c r="E1048">
        <v>0</v>
      </c>
      <c r="F1048">
        <v>1</v>
      </c>
      <c r="G1048">
        <v>0</v>
      </c>
      <c r="H1048">
        <f t="shared" si="16"/>
        <v>2</v>
      </c>
    </row>
    <row r="1049" spans="1:8">
      <c r="A1049">
        <v>8271</v>
      </c>
      <c r="C1049">
        <v>0</v>
      </c>
      <c r="D1049">
        <v>0</v>
      </c>
      <c r="E1049">
        <v>1</v>
      </c>
      <c r="F1049">
        <v>1</v>
      </c>
      <c r="G1049">
        <v>0</v>
      </c>
      <c r="H1049">
        <f t="shared" si="16"/>
        <v>2</v>
      </c>
    </row>
    <row r="1050" spans="1:8">
      <c r="A1050">
        <v>8277</v>
      </c>
      <c r="C1050">
        <v>0</v>
      </c>
      <c r="D1050">
        <v>1</v>
      </c>
      <c r="E1050">
        <v>0</v>
      </c>
      <c r="F1050">
        <v>1</v>
      </c>
      <c r="G1050">
        <v>0</v>
      </c>
      <c r="H1050">
        <f t="shared" si="16"/>
        <v>2</v>
      </c>
    </row>
    <row r="1051" spans="1:8">
      <c r="A1051">
        <v>8287</v>
      </c>
      <c r="C1051">
        <v>0</v>
      </c>
      <c r="D1051">
        <v>1</v>
      </c>
      <c r="E1051">
        <v>1</v>
      </c>
      <c r="F1051">
        <v>0</v>
      </c>
      <c r="G1051">
        <v>0</v>
      </c>
      <c r="H1051">
        <f t="shared" si="16"/>
        <v>2</v>
      </c>
    </row>
    <row r="1052" spans="1:8">
      <c r="A1052">
        <v>8404</v>
      </c>
      <c r="C1052">
        <v>0</v>
      </c>
      <c r="D1052">
        <v>1</v>
      </c>
      <c r="E1052">
        <v>0</v>
      </c>
      <c r="F1052">
        <v>1</v>
      </c>
      <c r="G1052">
        <v>0</v>
      </c>
      <c r="H1052">
        <f t="shared" si="16"/>
        <v>2</v>
      </c>
    </row>
    <row r="1053" spans="1:8">
      <c r="A1053">
        <v>8409</v>
      </c>
      <c r="C1053">
        <v>0</v>
      </c>
      <c r="D1053">
        <v>1</v>
      </c>
      <c r="E1053">
        <v>0</v>
      </c>
      <c r="F1053">
        <v>1</v>
      </c>
      <c r="G1053">
        <v>0</v>
      </c>
      <c r="H1053">
        <f t="shared" si="16"/>
        <v>2</v>
      </c>
    </row>
    <row r="1054" spans="1:8">
      <c r="A1054">
        <v>8420</v>
      </c>
      <c r="C1054">
        <v>0</v>
      </c>
      <c r="D1054">
        <v>1</v>
      </c>
      <c r="E1054">
        <v>0</v>
      </c>
      <c r="F1054">
        <v>1</v>
      </c>
      <c r="G1054">
        <v>0</v>
      </c>
      <c r="H1054">
        <f t="shared" si="16"/>
        <v>2</v>
      </c>
    </row>
    <row r="1055" spans="1:8">
      <c r="A1055">
        <v>8435</v>
      </c>
      <c r="C1055">
        <v>0</v>
      </c>
      <c r="D1055">
        <v>1</v>
      </c>
      <c r="E1055">
        <v>0</v>
      </c>
      <c r="F1055">
        <v>1</v>
      </c>
      <c r="G1055">
        <v>0</v>
      </c>
      <c r="H1055">
        <f t="shared" si="16"/>
        <v>2</v>
      </c>
    </row>
    <row r="1056" spans="1:8">
      <c r="A1056">
        <v>8444</v>
      </c>
      <c r="C1056">
        <v>0</v>
      </c>
      <c r="D1056">
        <v>0</v>
      </c>
      <c r="E1056">
        <v>1</v>
      </c>
      <c r="F1056">
        <v>1</v>
      </c>
      <c r="G1056">
        <v>0</v>
      </c>
      <c r="H1056">
        <f t="shared" si="16"/>
        <v>2</v>
      </c>
    </row>
    <row r="1057" spans="1:8">
      <c r="A1057">
        <v>8446</v>
      </c>
      <c r="C1057">
        <v>0</v>
      </c>
      <c r="D1057">
        <v>1</v>
      </c>
      <c r="E1057">
        <v>0</v>
      </c>
      <c r="F1057">
        <v>1</v>
      </c>
      <c r="G1057">
        <v>0</v>
      </c>
      <c r="H1057">
        <f t="shared" si="16"/>
        <v>2</v>
      </c>
    </row>
    <row r="1058" spans="1:8">
      <c r="A1058">
        <v>8454</v>
      </c>
      <c r="C1058">
        <v>0</v>
      </c>
      <c r="D1058">
        <v>0</v>
      </c>
      <c r="E1058">
        <v>1</v>
      </c>
      <c r="F1058">
        <v>1</v>
      </c>
      <c r="G1058">
        <v>0</v>
      </c>
      <c r="H1058">
        <f t="shared" si="16"/>
        <v>2</v>
      </c>
    </row>
    <row r="1059" spans="1:8">
      <c r="A1059">
        <v>8906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8908</v>
      </c>
      <c r="C1060">
        <v>0</v>
      </c>
      <c r="D1060">
        <v>0</v>
      </c>
      <c r="E1060">
        <v>1</v>
      </c>
      <c r="F1060">
        <v>1</v>
      </c>
      <c r="G1060">
        <v>0</v>
      </c>
      <c r="H1060">
        <f t="shared" si="16"/>
        <v>2</v>
      </c>
    </row>
    <row r="1061" spans="1:8">
      <c r="A1061">
        <v>8932</v>
      </c>
      <c r="C1061">
        <v>0</v>
      </c>
      <c r="D1061">
        <v>1</v>
      </c>
      <c r="E1061">
        <v>0</v>
      </c>
      <c r="F1061">
        <v>1</v>
      </c>
      <c r="G1061">
        <v>0</v>
      </c>
      <c r="H1061">
        <f t="shared" si="16"/>
        <v>2</v>
      </c>
    </row>
    <row r="1062" spans="1:8">
      <c r="A1062">
        <v>8934</v>
      </c>
      <c r="C1062">
        <v>0</v>
      </c>
      <c r="D1062">
        <v>1</v>
      </c>
      <c r="E1062">
        <v>1</v>
      </c>
      <c r="F1062">
        <v>0</v>
      </c>
      <c r="G1062">
        <v>0</v>
      </c>
      <c r="H1062">
        <f t="shared" si="16"/>
        <v>2</v>
      </c>
    </row>
    <row r="1063" spans="1:8">
      <c r="A1063">
        <v>8935</v>
      </c>
      <c r="C1063">
        <v>0</v>
      </c>
      <c r="D1063">
        <v>1</v>
      </c>
      <c r="E1063">
        <v>1</v>
      </c>
      <c r="F1063">
        <v>0</v>
      </c>
      <c r="G1063">
        <v>0</v>
      </c>
      <c r="H1063">
        <f t="shared" si="16"/>
        <v>2</v>
      </c>
    </row>
    <row r="1064" spans="1:8">
      <c r="A1064">
        <v>8938</v>
      </c>
      <c r="C1064">
        <v>0</v>
      </c>
      <c r="D1064">
        <v>1</v>
      </c>
      <c r="E1064">
        <v>1</v>
      </c>
      <c r="F1064">
        <v>0</v>
      </c>
      <c r="G1064">
        <v>0</v>
      </c>
      <c r="H1064">
        <f t="shared" si="16"/>
        <v>2</v>
      </c>
    </row>
    <row r="1065" spans="1:8">
      <c r="A1065">
        <v>9802</v>
      </c>
      <c r="C1065">
        <v>0</v>
      </c>
      <c r="D1065">
        <v>1</v>
      </c>
      <c r="E1065">
        <v>0</v>
      </c>
      <c r="F1065">
        <v>1</v>
      </c>
      <c r="G1065">
        <v>0</v>
      </c>
      <c r="H1065">
        <f t="shared" si="16"/>
        <v>2</v>
      </c>
    </row>
    <row r="1066" spans="1:8">
      <c r="A1066">
        <v>9902</v>
      </c>
      <c r="C1066">
        <v>1</v>
      </c>
      <c r="D1066">
        <v>1</v>
      </c>
      <c r="E1066">
        <v>0</v>
      </c>
      <c r="F1066">
        <v>0</v>
      </c>
      <c r="G1066">
        <v>0</v>
      </c>
      <c r="H1066">
        <f t="shared" si="16"/>
        <v>2</v>
      </c>
    </row>
    <row r="1067" spans="1:8">
      <c r="A1067">
        <v>9907</v>
      </c>
      <c r="C1067">
        <v>0</v>
      </c>
      <c r="D1067">
        <v>0</v>
      </c>
      <c r="E1067">
        <v>1</v>
      </c>
      <c r="F1067">
        <v>1</v>
      </c>
      <c r="G1067">
        <v>0</v>
      </c>
      <c r="H1067">
        <f t="shared" si="16"/>
        <v>2</v>
      </c>
    </row>
    <row r="1068" spans="1:8">
      <c r="A1068">
        <v>9911</v>
      </c>
      <c r="C1068">
        <v>0</v>
      </c>
      <c r="D1068">
        <v>1</v>
      </c>
      <c r="E1068">
        <v>0</v>
      </c>
      <c r="F1068">
        <v>1</v>
      </c>
      <c r="G1068">
        <v>0</v>
      </c>
      <c r="H1068">
        <f t="shared" si="16"/>
        <v>2</v>
      </c>
    </row>
    <row r="1069" spans="1:8">
      <c r="A1069">
        <v>9912</v>
      </c>
      <c r="C1069">
        <v>0</v>
      </c>
      <c r="D1069">
        <v>1</v>
      </c>
      <c r="E1069">
        <v>1</v>
      </c>
      <c r="F1069">
        <v>0</v>
      </c>
      <c r="G1069">
        <v>0</v>
      </c>
      <c r="H1069">
        <f t="shared" si="16"/>
        <v>2</v>
      </c>
    </row>
    <row r="1070" spans="1:8">
      <c r="A1070">
        <v>9917</v>
      </c>
      <c r="C1070">
        <v>0</v>
      </c>
      <c r="D1070">
        <v>1</v>
      </c>
      <c r="E1070">
        <v>1</v>
      </c>
      <c r="F1070">
        <v>0</v>
      </c>
      <c r="G1070">
        <v>0</v>
      </c>
      <c r="H1070">
        <f t="shared" si="16"/>
        <v>2</v>
      </c>
    </row>
    <row r="1071" spans="1:8">
      <c r="A1071">
        <v>9918</v>
      </c>
      <c r="C1071">
        <v>0</v>
      </c>
      <c r="D1071">
        <v>1</v>
      </c>
      <c r="E1071">
        <v>0</v>
      </c>
      <c r="F1071">
        <v>1</v>
      </c>
      <c r="G1071">
        <v>0</v>
      </c>
      <c r="H1071">
        <f t="shared" si="16"/>
        <v>2</v>
      </c>
    </row>
    <row r="1072" spans="1:8">
      <c r="A1072">
        <v>9925</v>
      </c>
      <c r="C1072">
        <v>0</v>
      </c>
      <c r="D1072">
        <v>0</v>
      </c>
      <c r="E1072">
        <v>1</v>
      </c>
      <c r="F1072">
        <v>1</v>
      </c>
      <c r="G1072">
        <v>0</v>
      </c>
      <c r="H1072">
        <f t="shared" si="16"/>
        <v>2</v>
      </c>
    </row>
    <row r="1073" spans="1:8">
      <c r="A1073">
        <v>9926</v>
      </c>
      <c r="C1073">
        <v>0</v>
      </c>
      <c r="D1073">
        <v>1</v>
      </c>
      <c r="E1073">
        <v>0</v>
      </c>
      <c r="F1073">
        <v>1</v>
      </c>
      <c r="G1073">
        <v>0</v>
      </c>
      <c r="H1073">
        <f t="shared" si="16"/>
        <v>2</v>
      </c>
    </row>
    <row r="1074" spans="1:8">
      <c r="A1074">
        <v>9928</v>
      </c>
      <c r="C1074">
        <v>0</v>
      </c>
      <c r="D1074">
        <v>1</v>
      </c>
      <c r="E1074">
        <v>1</v>
      </c>
      <c r="F1074">
        <v>0</v>
      </c>
      <c r="G1074">
        <v>0</v>
      </c>
      <c r="H1074">
        <f t="shared" si="16"/>
        <v>2</v>
      </c>
    </row>
    <row r="1075" spans="1:8">
      <c r="A1075">
        <v>9931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9935</v>
      </c>
      <c r="C1076">
        <v>0</v>
      </c>
      <c r="D1076">
        <v>1</v>
      </c>
      <c r="E1076">
        <v>0</v>
      </c>
      <c r="F1076">
        <v>0</v>
      </c>
      <c r="G1076">
        <v>1</v>
      </c>
      <c r="H1076">
        <f t="shared" si="16"/>
        <v>2</v>
      </c>
    </row>
    <row r="1077" spans="1:8">
      <c r="A1077">
        <v>9940</v>
      </c>
      <c r="C1077">
        <v>0</v>
      </c>
      <c r="D1077">
        <v>1</v>
      </c>
      <c r="E1077">
        <v>0</v>
      </c>
      <c r="F1077">
        <v>1</v>
      </c>
      <c r="G1077">
        <v>0</v>
      </c>
      <c r="H1077">
        <f t="shared" si="16"/>
        <v>2</v>
      </c>
    </row>
    <row r="1078" spans="1:8">
      <c r="A1078">
        <v>9942</v>
      </c>
      <c r="C1078">
        <v>0</v>
      </c>
      <c r="D1078">
        <v>1</v>
      </c>
      <c r="E1078">
        <v>0</v>
      </c>
      <c r="F1078">
        <v>1</v>
      </c>
      <c r="G1078">
        <v>0</v>
      </c>
      <c r="H1078">
        <f t="shared" si="16"/>
        <v>2</v>
      </c>
    </row>
    <row r="1079" spans="1:8">
      <c r="A1079">
        <v>9943</v>
      </c>
      <c r="C1079">
        <v>0</v>
      </c>
      <c r="D1079">
        <v>1</v>
      </c>
      <c r="E1079">
        <v>0</v>
      </c>
      <c r="F1079">
        <v>1</v>
      </c>
      <c r="G1079">
        <v>0</v>
      </c>
      <c r="H1079">
        <f t="shared" si="16"/>
        <v>2</v>
      </c>
    </row>
    <row r="1080" spans="1:8">
      <c r="A1080">
        <v>9944</v>
      </c>
      <c r="C1080">
        <v>0</v>
      </c>
      <c r="D1080">
        <v>1</v>
      </c>
      <c r="E1080">
        <v>0</v>
      </c>
      <c r="F1080">
        <v>1</v>
      </c>
      <c r="G1080">
        <v>0</v>
      </c>
      <c r="H1080">
        <f t="shared" si="16"/>
        <v>2</v>
      </c>
    </row>
    <row r="1081" spans="1:8">
      <c r="A1081">
        <v>9955</v>
      </c>
      <c r="C1081">
        <v>0</v>
      </c>
      <c r="D1081">
        <v>1</v>
      </c>
      <c r="E1081">
        <v>0</v>
      </c>
      <c r="F1081">
        <v>1</v>
      </c>
      <c r="G1081">
        <v>0</v>
      </c>
      <c r="H1081">
        <f t="shared" si="16"/>
        <v>2</v>
      </c>
    </row>
    <row r="1082" spans="1:8">
      <c r="A1082">
        <v>1101</v>
      </c>
      <c r="C1082">
        <v>0</v>
      </c>
      <c r="D1082">
        <v>0</v>
      </c>
      <c r="E1082">
        <v>0</v>
      </c>
      <c r="F1082">
        <v>1</v>
      </c>
      <c r="G1082">
        <v>0</v>
      </c>
      <c r="H1082">
        <f t="shared" si="16"/>
        <v>1</v>
      </c>
    </row>
    <row r="1083" spans="1:8">
      <c r="A1083">
        <v>1102</v>
      </c>
      <c r="C1083">
        <v>0</v>
      </c>
      <c r="D1083">
        <v>0</v>
      </c>
      <c r="E1083">
        <v>0</v>
      </c>
      <c r="F1083">
        <v>1</v>
      </c>
      <c r="G1083">
        <v>0</v>
      </c>
      <c r="H1083">
        <f t="shared" si="16"/>
        <v>1</v>
      </c>
    </row>
    <row r="1084" spans="1:8">
      <c r="A1084">
        <v>1103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1225</v>
      </c>
      <c r="C1085">
        <v>0</v>
      </c>
      <c r="D1085">
        <v>1</v>
      </c>
      <c r="E1085">
        <v>0</v>
      </c>
      <c r="F1085">
        <v>0</v>
      </c>
      <c r="G1085">
        <v>0</v>
      </c>
      <c r="H1085">
        <f t="shared" si="16"/>
        <v>1</v>
      </c>
    </row>
    <row r="1086" spans="1:8">
      <c r="A1086">
        <v>1229</v>
      </c>
      <c r="C1086">
        <v>0</v>
      </c>
      <c r="D1086">
        <v>0</v>
      </c>
      <c r="E1086">
        <v>0</v>
      </c>
      <c r="F1086">
        <v>1</v>
      </c>
      <c r="G1086">
        <v>0</v>
      </c>
      <c r="H1086">
        <f t="shared" si="16"/>
        <v>1</v>
      </c>
    </row>
    <row r="1087" spans="1:8">
      <c r="A1087">
        <v>1231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f t="shared" si="16"/>
        <v>1</v>
      </c>
    </row>
    <row r="1088" spans="1:8">
      <c r="A1088">
        <v>1236</v>
      </c>
      <c r="C1088">
        <v>0</v>
      </c>
      <c r="D1088">
        <v>1</v>
      </c>
      <c r="E1088">
        <v>0</v>
      </c>
      <c r="F1088">
        <v>0</v>
      </c>
      <c r="G1088">
        <v>0</v>
      </c>
      <c r="H1088">
        <f t="shared" si="16"/>
        <v>1</v>
      </c>
    </row>
    <row r="1089" spans="1:8">
      <c r="A1089">
        <v>1256</v>
      </c>
      <c r="C1089">
        <v>0</v>
      </c>
      <c r="D1089">
        <v>0</v>
      </c>
      <c r="E1089">
        <v>0</v>
      </c>
      <c r="F1089">
        <v>1</v>
      </c>
      <c r="G1089">
        <v>0</v>
      </c>
      <c r="H1089">
        <f t="shared" si="16"/>
        <v>1</v>
      </c>
    </row>
    <row r="1090" spans="1:8">
      <c r="A1090">
        <v>1304</v>
      </c>
      <c r="C1090">
        <v>0</v>
      </c>
      <c r="D1090">
        <v>0</v>
      </c>
      <c r="E1090">
        <v>0</v>
      </c>
      <c r="F1090">
        <v>1</v>
      </c>
      <c r="G1090">
        <v>0</v>
      </c>
      <c r="H1090">
        <f t="shared" ref="H1090:H1153" si="17">SUM(C1090:G1090)</f>
        <v>1</v>
      </c>
    </row>
    <row r="1091" spans="1:8">
      <c r="A1091">
        <v>1308</v>
      </c>
      <c r="C1091">
        <v>0</v>
      </c>
      <c r="D1091">
        <v>0</v>
      </c>
      <c r="E1091">
        <v>0</v>
      </c>
      <c r="F1091">
        <v>1</v>
      </c>
      <c r="G1091">
        <v>0</v>
      </c>
      <c r="H1091">
        <f t="shared" si="17"/>
        <v>1</v>
      </c>
    </row>
    <row r="1092" spans="1:8">
      <c r="A1092">
        <v>1316</v>
      </c>
      <c r="C1092">
        <v>0</v>
      </c>
      <c r="D1092">
        <v>1</v>
      </c>
      <c r="E1092">
        <v>0</v>
      </c>
      <c r="F1092">
        <v>0</v>
      </c>
      <c r="G1092">
        <v>0</v>
      </c>
      <c r="H1092">
        <f t="shared" si="17"/>
        <v>1</v>
      </c>
    </row>
    <row r="1093" spans="1:8">
      <c r="A1093">
        <v>1402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1417</v>
      </c>
      <c r="C1094">
        <v>0</v>
      </c>
      <c r="D1094">
        <v>0</v>
      </c>
      <c r="E1094">
        <v>1</v>
      </c>
      <c r="F1094">
        <v>0</v>
      </c>
      <c r="G1094">
        <v>0</v>
      </c>
      <c r="H1094">
        <f t="shared" si="17"/>
        <v>1</v>
      </c>
    </row>
    <row r="1095" spans="1:8">
      <c r="A1095">
        <v>1418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f t="shared" si="17"/>
        <v>1</v>
      </c>
    </row>
    <row r="1096" spans="1:8">
      <c r="A1096">
        <v>1423</v>
      </c>
      <c r="C1096">
        <v>0</v>
      </c>
      <c r="D1096">
        <v>0</v>
      </c>
      <c r="E1096">
        <v>0</v>
      </c>
      <c r="F1096">
        <v>0</v>
      </c>
      <c r="G1096">
        <v>1</v>
      </c>
      <c r="H1096">
        <f t="shared" si="17"/>
        <v>1</v>
      </c>
    </row>
    <row r="1097" spans="1:8">
      <c r="A1097">
        <v>1440</v>
      </c>
      <c r="C1097">
        <v>0</v>
      </c>
      <c r="D1097">
        <v>1</v>
      </c>
      <c r="E1097">
        <v>0</v>
      </c>
      <c r="F1097">
        <v>0</v>
      </c>
      <c r="G1097">
        <v>0</v>
      </c>
      <c r="H1097">
        <f t="shared" si="17"/>
        <v>1</v>
      </c>
    </row>
    <row r="1098" spans="1:8">
      <c r="A1098">
        <v>1443</v>
      </c>
      <c r="C1098">
        <v>0</v>
      </c>
      <c r="D1098">
        <v>1</v>
      </c>
      <c r="E1098">
        <v>0</v>
      </c>
      <c r="F1098">
        <v>0</v>
      </c>
      <c r="G1098">
        <v>0</v>
      </c>
      <c r="H1098">
        <f t="shared" si="17"/>
        <v>1</v>
      </c>
    </row>
    <row r="1099" spans="1:8">
      <c r="A1099">
        <v>1447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1449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f t="shared" si="17"/>
        <v>1</v>
      </c>
    </row>
    <row r="1101" spans="1:8">
      <c r="A1101">
        <v>1454</v>
      </c>
      <c r="C1101">
        <v>0</v>
      </c>
      <c r="D1101">
        <v>0</v>
      </c>
      <c r="E1101">
        <v>0</v>
      </c>
      <c r="F1101">
        <v>1</v>
      </c>
      <c r="G1101">
        <v>0</v>
      </c>
      <c r="H1101">
        <f t="shared" si="17"/>
        <v>1</v>
      </c>
    </row>
    <row r="1102" spans="1:8">
      <c r="A1102">
        <v>1459</v>
      </c>
      <c r="C1102">
        <v>0</v>
      </c>
      <c r="D1102">
        <v>0</v>
      </c>
      <c r="E1102">
        <v>0</v>
      </c>
      <c r="F1102">
        <v>1</v>
      </c>
      <c r="G1102">
        <v>0</v>
      </c>
      <c r="H1102">
        <f t="shared" si="17"/>
        <v>1</v>
      </c>
    </row>
    <row r="1103" spans="1:8">
      <c r="A1103">
        <v>1464</v>
      </c>
      <c r="C1103">
        <v>0</v>
      </c>
      <c r="D1103">
        <v>1</v>
      </c>
      <c r="E1103">
        <v>0</v>
      </c>
      <c r="F1103">
        <v>0</v>
      </c>
      <c r="G1103">
        <v>0</v>
      </c>
      <c r="H1103">
        <f t="shared" si="17"/>
        <v>1</v>
      </c>
    </row>
    <row r="1104" spans="1:8">
      <c r="A1104">
        <v>1466</v>
      </c>
      <c r="C1104">
        <v>0</v>
      </c>
      <c r="D1104">
        <v>1</v>
      </c>
      <c r="E1104">
        <v>0</v>
      </c>
      <c r="F1104">
        <v>0</v>
      </c>
      <c r="G1104">
        <v>0</v>
      </c>
      <c r="H1104">
        <f t="shared" si="17"/>
        <v>1</v>
      </c>
    </row>
    <row r="1105" spans="1:8">
      <c r="A1105">
        <v>1467</v>
      </c>
      <c r="C1105">
        <v>0</v>
      </c>
      <c r="D1105">
        <v>1</v>
      </c>
      <c r="E1105">
        <v>0</v>
      </c>
      <c r="F1105">
        <v>0</v>
      </c>
      <c r="G1105">
        <v>0</v>
      </c>
      <c r="H1105">
        <f t="shared" si="17"/>
        <v>1</v>
      </c>
    </row>
    <row r="1106" spans="1:8">
      <c r="A1106">
        <v>1468</v>
      </c>
      <c r="C1106">
        <v>0</v>
      </c>
      <c r="D1106">
        <v>0</v>
      </c>
      <c r="E1106">
        <v>0</v>
      </c>
      <c r="F1106">
        <v>1</v>
      </c>
      <c r="G1106">
        <v>0</v>
      </c>
      <c r="H1106">
        <f t="shared" si="17"/>
        <v>1</v>
      </c>
    </row>
    <row r="1107" spans="1:8">
      <c r="A1107">
        <v>1469</v>
      </c>
      <c r="C1107">
        <v>0</v>
      </c>
      <c r="D1107">
        <v>0</v>
      </c>
      <c r="E1107">
        <v>0</v>
      </c>
      <c r="F1107">
        <v>1</v>
      </c>
      <c r="G1107">
        <v>0</v>
      </c>
      <c r="H1107">
        <f t="shared" si="17"/>
        <v>1</v>
      </c>
    </row>
    <row r="1108" spans="1:8">
      <c r="A1108">
        <v>1471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f t="shared" si="17"/>
        <v>1</v>
      </c>
    </row>
    <row r="1109" spans="1:8">
      <c r="A1109">
        <v>1475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1525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1528</v>
      </c>
      <c r="C1111">
        <v>0</v>
      </c>
      <c r="D1111">
        <v>1</v>
      </c>
      <c r="E1111">
        <v>0</v>
      </c>
      <c r="F1111">
        <v>0</v>
      </c>
      <c r="G1111">
        <v>0</v>
      </c>
      <c r="H1111">
        <f t="shared" si="17"/>
        <v>1</v>
      </c>
    </row>
    <row r="1112" spans="1:8">
      <c r="A1112">
        <v>1535</v>
      </c>
      <c r="C1112">
        <v>0</v>
      </c>
      <c r="D1112">
        <v>1</v>
      </c>
      <c r="E1112">
        <v>0</v>
      </c>
      <c r="F1112">
        <v>0</v>
      </c>
      <c r="G1112">
        <v>0</v>
      </c>
      <c r="H1112">
        <f t="shared" si="17"/>
        <v>1</v>
      </c>
    </row>
    <row r="1113" spans="1:8">
      <c r="A1113">
        <v>1540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f t="shared" si="17"/>
        <v>1</v>
      </c>
    </row>
    <row r="1114" spans="1:8">
      <c r="A1114">
        <v>1569</v>
      </c>
      <c r="C1114">
        <v>0</v>
      </c>
      <c r="D1114">
        <v>1</v>
      </c>
      <c r="E1114">
        <v>0</v>
      </c>
      <c r="F1114">
        <v>0</v>
      </c>
      <c r="G1114">
        <v>0</v>
      </c>
      <c r="H1114">
        <f t="shared" si="17"/>
        <v>1</v>
      </c>
    </row>
    <row r="1115" spans="1:8">
      <c r="A1115">
        <v>1580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f t="shared" si="17"/>
        <v>1</v>
      </c>
    </row>
    <row r="1116" spans="1:8">
      <c r="A1116">
        <v>1583</v>
      </c>
      <c r="C1116">
        <v>0</v>
      </c>
      <c r="D1116">
        <v>1</v>
      </c>
      <c r="E1116">
        <v>0</v>
      </c>
      <c r="F1116">
        <v>0</v>
      </c>
      <c r="G1116">
        <v>0</v>
      </c>
      <c r="H1116">
        <f t="shared" si="17"/>
        <v>1</v>
      </c>
    </row>
    <row r="1117" spans="1:8">
      <c r="A1117">
        <v>1584</v>
      </c>
      <c r="C1117">
        <v>0</v>
      </c>
      <c r="D1117">
        <v>0</v>
      </c>
      <c r="E1117">
        <v>0</v>
      </c>
      <c r="F1117">
        <v>1</v>
      </c>
      <c r="G1117">
        <v>0</v>
      </c>
      <c r="H1117">
        <f t="shared" si="17"/>
        <v>1</v>
      </c>
    </row>
    <row r="1118" spans="1:8">
      <c r="A1118">
        <v>1590</v>
      </c>
      <c r="C1118">
        <v>0</v>
      </c>
      <c r="D1118">
        <v>0</v>
      </c>
      <c r="E1118">
        <v>0</v>
      </c>
      <c r="F1118">
        <v>1</v>
      </c>
      <c r="G1118">
        <v>0</v>
      </c>
      <c r="H1118">
        <f t="shared" si="17"/>
        <v>1</v>
      </c>
    </row>
    <row r="1119" spans="1:8">
      <c r="A1119">
        <v>1591</v>
      </c>
      <c r="C1119">
        <v>0</v>
      </c>
      <c r="D1119">
        <v>1</v>
      </c>
      <c r="E1119">
        <v>0</v>
      </c>
      <c r="F1119">
        <v>0</v>
      </c>
      <c r="G1119">
        <v>0</v>
      </c>
      <c r="H1119">
        <f t="shared" si="17"/>
        <v>1</v>
      </c>
    </row>
    <row r="1120" spans="1:8">
      <c r="A1120">
        <v>1603</v>
      </c>
      <c r="C1120">
        <v>0</v>
      </c>
      <c r="D1120">
        <v>1</v>
      </c>
      <c r="E1120">
        <v>0</v>
      </c>
      <c r="F1120">
        <v>0</v>
      </c>
      <c r="G1120">
        <v>0</v>
      </c>
      <c r="H1120">
        <f t="shared" si="17"/>
        <v>1</v>
      </c>
    </row>
    <row r="1121" spans="1:8">
      <c r="A1121">
        <v>1604</v>
      </c>
      <c r="C1121">
        <v>0</v>
      </c>
      <c r="D1121">
        <v>0</v>
      </c>
      <c r="E1121">
        <v>0</v>
      </c>
      <c r="F1121">
        <v>1</v>
      </c>
      <c r="G1121">
        <v>0</v>
      </c>
      <c r="H1121">
        <f t="shared" si="17"/>
        <v>1</v>
      </c>
    </row>
    <row r="1122" spans="1:8">
      <c r="A1122">
        <v>1605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1608</v>
      </c>
      <c r="C1123">
        <v>0</v>
      </c>
      <c r="D1123">
        <v>0</v>
      </c>
      <c r="E1123">
        <v>0</v>
      </c>
      <c r="F1123">
        <v>1</v>
      </c>
      <c r="G1123">
        <v>0</v>
      </c>
      <c r="H1123">
        <f t="shared" si="17"/>
        <v>1</v>
      </c>
    </row>
    <row r="1124" spans="1:8">
      <c r="A1124">
        <v>1612</v>
      </c>
      <c r="C1124">
        <v>0</v>
      </c>
      <c r="D1124">
        <v>0</v>
      </c>
      <c r="E1124">
        <v>0</v>
      </c>
      <c r="F1124">
        <v>1</v>
      </c>
      <c r="G1124">
        <v>0</v>
      </c>
      <c r="H1124">
        <f t="shared" si="17"/>
        <v>1</v>
      </c>
    </row>
    <row r="1125" spans="1:8">
      <c r="A1125">
        <v>1613</v>
      </c>
      <c r="C1125">
        <v>0</v>
      </c>
      <c r="D1125">
        <v>0</v>
      </c>
      <c r="E1125">
        <v>1</v>
      </c>
      <c r="F1125">
        <v>0</v>
      </c>
      <c r="G1125">
        <v>0</v>
      </c>
      <c r="H1125">
        <f t="shared" si="17"/>
        <v>1</v>
      </c>
    </row>
    <row r="1126" spans="1:8">
      <c r="A1126">
        <v>1616</v>
      </c>
      <c r="C1126">
        <v>0</v>
      </c>
      <c r="D1126">
        <v>0</v>
      </c>
      <c r="E1126">
        <v>1</v>
      </c>
      <c r="F1126">
        <v>0</v>
      </c>
      <c r="G1126">
        <v>0</v>
      </c>
      <c r="H1126">
        <f t="shared" si="17"/>
        <v>1</v>
      </c>
    </row>
    <row r="1127" spans="1:8">
      <c r="A1127">
        <v>1713</v>
      </c>
      <c r="C1127">
        <v>0</v>
      </c>
      <c r="D1127">
        <v>1</v>
      </c>
      <c r="E1127">
        <v>0</v>
      </c>
      <c r="F1127">
        <v>0</v>
      </c>
      <c r="G1127">
        <v>0</v>
      </c>
      <c r="H1127">
        <f t="shared" si="17"/>
        <v>1</v>
      </c>
    </row>
    <row r="1128" spans="1:8">
      <c r="A1128">
        <v>1714</v>
      </c>
      <c r="C1128">
        <v>0</v>
      </c>
      <c r="D1128">
        <v>1</v>
      </c>
      <c r="E1128">
        <v>0</v>
      </c>
      <c r="F1128">
        <v>0</v>
      </c>
      <c r="G1128">
        <v>0</v>
      </c>
      <c r="H1128">
        <f t="shared" si="17"/>
        <v>1</v>
      </c>
    </row>
    <row r="1129" spans="1:8">
      <c r="A1129">
        <v>1723</v>
      </c>
      <c r="C1129">
        <v>0</v>
      </c>
      <c r="D1129">
        <v>0</v>
      </c>
      <c r="E1129">
        <v>0</v>
      </c>
      <c r="F1129">
        <v>1</v>
      </c>
      <c r="G1129">
        <v>0</v>
      </c>
      <c r="H1129">
        <f t="shared" si="17"/>
        <v>1</v>
      </c>
    </row>
    <row r="1130" spans="1:8">
      <c r="A1130">
        <v>1736</v>
      </c>
      <c r="C1130">
        <v>0</v>
      </c>
      <c r="D1130">
        <v>1</v>
      </c>
      <c r="E1130">
        <v>0</v>
      </c>
      <c r="F1130">
        <v>0</v>
      </c>
      <c r="G1130">
        <v>0</v>
      </c>
      <c r="H1130">
        <f t="shared" si="17"/>
        <v>1</v>
      </c>
    </row>
    <row r="1131" spans="1:8">
      <c r="A1131">
        <v>1785</v>
      </c>
      <c r="C1131">
        <v>0</v>
      </c>
      <c r="D1131">
        <v>1</v>
      </c>
      <c r="E1131">
        <v>0</v>
      </c>
      <c r="F1131">
        <v>0</v>
      </c>
      <c r="G1131">
        <v>0</v>
      </c>
      <c r="H1131">
        <f t="shared" si="17"/>
        <v>1</v>
      </c>
    </row>
    <row r="1132" spans="1:8">
      <c r="A1132">
        <v>1788</v>
      </c>
      <c r="C1132">
        <v>0</v>
      </c>
      <c r="D1132">
        <v>0</v>
      </c>
      <c r="E1132">
        <v>0</v>
      </c>
      <c r="F1132">
        <v>1</v>
      </c>
      <c r="G1132">
        <v>0</v>
      </c>
      <c r="H1132">
        <f t="shared" si="17"/>
        <v>1</v>
      </c>
    </row>
    <row r="1133" spans="1:8">
      <c r="A1133">
        <v>1805</v>
      </c>
      <c r="C1133">
        <v>1</v>
      </c>
      <c r="D1133">
        <v>0</v>
      </c>
      <c r="E1133">
        <v>0</v>
      </c>
      <c r="F1133">
        <v>0</v>
      </c>
      <c r="G1133">
        <v>0</v>
      </c>
      <c r="H1133">
        <f t="shared" si="17"/>
        <v>1</v>
      </c>
    </row>
    <row r="1134" spans="1:8">
      <c r="A1134">
        <v>1809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f t="shared" si="17"/>
        <v>1</v>
      </c>
    </row>
    <row r="1135" spans="1:8">
      <c r="A1135">
        <v>1904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f t="shared" si="17"/>
        <v>1</v>
      </c>
    </row>
    <row r="1136" spans="1:8">
      <c r="A1136">
        <v>2002</v>
      </c>
      <c r="C1136">
        <v>0</v>
      </c>
      <c r="D1136">
        <v>0</v>
      </c>
      <c r="E1136">
        <v>0</v>
      </c>
      <c r="F1136">
        <v>1</v>
      </c>
      <c r="G1136">
        <v>0</v>
      </c>
      <c r="H1136">
        <f t="shared" si="17"/>
        <v>1</v>
      </c>
    </row>
    <row r="1137" spans="1:8">
      <c r="A1137">
        <v>2006</v>
      </c>
      <c r="C1137">
        <v>0</v>
      </c>
      <c r="D1137">
        <v>0</v>
      </c>
      <c r="E1137">
        <v>0</v>
      </c>
      <c r="F1137">
        <v>1</v>
      </c>
      <c r="G1137">
        <v>0</v>
      </c>
      <c r="H1137">
        <f t="shared" si="17"/>
        <v>1</v>
      </c>
    </row>
    <row r="1138" spans="1:8">
      <c r="A1138">
        <v>2007</v>
      </c>
      <c r="C1138">
        <v>0</v>
      </c>
      <c r="D1138">
        <v>0</v>
      </c>
      <c r="E1138">
        <v>1</v>
      </c>
      <c r="F1138">
        <v>0</v>
      </c>
      <c r="G1138">
        <v>0</v>
      </c>
      <c r="H1138">
        <f t="shared" si="17"/>
        <v>1</v>
      </c>
    </row>
    <row r="1139" spans="1:8">
      <c r="A1139">
        <v>2008</v>
      </c>
      <c r="C1139">
        <v>0</v>
      </c>
      <c r="D1139">
        <v>0</v>
      </c>
      <c r="E1139">
        <v>0</v>
      </c>
      <c r="F1139">
        <v>1</v>
      </c>
      <c r="G1139">
        <v>0</v>
      </c>
      <c r="H1139">
        <f t="shared" si="17"/>
        <v>1</v>
      </c>
    </row>
    <row r="1140" spans="1:8">
      <c r="A1140">
        <v>2009</v>
      </c>
      <c r="C1140">
        <v>0</v>
      </c>
      <c r="D1140">
        <v>0</v>
      </c>
      <c r="E1140">
        <v>0</v>
      </c>
      <c r="F1140">
        <v>1</v>
      </c>
      <c r="G1140">
        <v>0</v>
      </c>
      <c r="H1140">
        <f t="shared" si="17"/>
        <v>1</v>
      </c>
    </row>
    <row r="1141" spans="1:8">
      <c r="A1141">
        <v>2017</v>
      </c>
      <c r="C1141">
        <v>0</v>
      </c>
      <c r="D1141">
        <v>0</v>
      </c>
      <c r="E1141">
        <v>0</v>
      </c>
      <c r="F1141">
        <v>1</v>
      </c>
      <c r="G1141">
        <v>0</v>
      </c>
      <c r="H1141">
        <f t="shared" si="17"/>
        <v>1</v>
      </c>
    </row>
    <row r="1142" spans="1:8">
      <c r="A1142">
        <v>2022</v>
      </c>
      <c r="C1142">
        <v>0</v>
      </c>
      <c r="D1142">
        <v>0</v>
      </c>
      <c r="E1142">
        <v>1</v>
      </c>
      <c r="F1142">
        <v>0</v>
      </c>
      <c r="G1142">
        <v>0</v>
      </c>
      <c r="H1142">
        <f t="shared" si="17"/>
        <v>1</v>
      </c>
    </row>
    <row r="1143" spans="1:8">
      <c r="A1143">
        <v>2025</v>
      </c>
      <c r="C1143">
        <v>0</v>
      </c>
      <c r="D1143">
        <v>0</v>
      </c>
      <c r="E1143">
        <v>1</v>
      </c>
      <c r="F1143">
        <v>0</v>
      </c>
      <c r="G1143">
        <v>0</v>
      </c>
      <c r="H1143">
        <f t="shared" si="17"/>
        <v>1</v>
      </c>
    </row>
    <row r="1144" spans="1:8">
      <c r="A1144">
        <v>2027</v>
      </c>
      <c r="C1144">
        <v>0</v>
      </c>
      <c r="D1144">
        <v>0</v>
      </c>
      <c r="E1144">
        <v>0</v>
      </c>
      <c r="F1144">
        <v>1</v>
      </c>
      <c r="G1144">
        <v>0</v>
      </c>
      <c r="H1144">
        <f t="shared" si="17"/>
        <v>1</v>
      </c>
    </row>
    <row r="1145" spans="1:8">
      <c r="A1145">
        <v>2028</v>
      </c>
      <c r="C1145">
        <v>0</v>
      </c>
      <c r="D1145">
        <v>0</v>
      </c>
      <c r="E1145">
        <v>0</v>
      </c>
      <c r="F1145">
        <v>1</v>
      </c>
      <c r="G1145">
        <v>0</v>
      </c>
      <c r="H1145">
        <f t="shared" si="17"/>
        <v>1</v>
      </c>
    </row>
    <row r="1146" spans="1:8">
      <c r="A1146">
        <v>2029</v>
      </c>
      <c r="C1146">
        <v>0</v>
      </c>
      <c r="D1146">
        <v>0</v>
      </c>
      <c r="E1146">
        <v>0</v>
      </c>
      <c r="F1146">
        <v>1</v>
      </c>
      <c r="G1146">
        <v>0</v>
      </c>
      <c r="H1146">
        <f t="shared" si="17"/>
        <v>1</v>
      </c>
    </row>
    <row r="1147" spans="1:8">
      <c r="A1147">
        <v>2033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f t="shared" si="17"/>
        <v>1</v>
      </c>
    </row>
    <row r="1148" spans="1:8">
      <c r="A1148">
        <v>2104</v>
      </c>
      <c r="C1148">
        <v>0</v>
      </c>
      <c r="D1148">
        <v>1</v>
      </c>
      <c r="E1148">
        <v>0</v>
      </c>
      <c r="F1148">
        <v>0</v>
      </c>
      <c r="G1148">
        <v>0</v>
      </c>
      <c r="H1148">
        <f t="shared" si="17"/>
        <v>1</v>
      </c>
    </row>
    <row r="1149" spans="1:8">
      <c r="A1149">
        <v>2105</v>
      </c>
      <c r="C1149">
        <v>0</v>
      </c>
      <c r="D1149">
        <v>0</v>
      </c>
      <c r="E1149">
        <v>0</v>
      </c>
      <c r="F1149">
        <v>1</v>
      </c>
      <c r="G1149">
        <v>0</v>
      </c>
      <c r="H1149">
        <f t="shared" si="17"/>
        <v>1</v>
      </c>
    </row>
    <row r="1150" spans="1:8">
      <c r="A1150">
        <v>2109</v>
      </c>
      <c r="C1150">
        <v>0</v>
      </c>
      <c r="D1150">
        <v>0</v>
      </c>
      <c r="E1150">
        <v>0</v>
      </c>
      <c r="F1150">
        <v>1</v>
      </c>
      <c r="G1150">
        <v>0</v>
      </c>
      <c r="H1150">
        <f t="shared" si="17"/>
        <v>1</v>
      </c>
    </row>
    <row r="1151" spans="1:8">
      <c r="A1151">
        <v>2201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f t="shared" si="17"/>
        <v>1</v>
      </c>
    </row>
    <row r="1152" spans="1:8">
      <c r="A1152">
        <v>2221</v>
      </c>
      <c r="C1152">
        <v>0</v>
      </c>
      <c r="D1152">
        <v>1</v>
      </c>
      <c r="E1152">
        <v>0</v>
      </c>
      <c r="F1152">
        <v>0</v>
      </c>
      <c r="G1152">
        <v>0</v>
      </c>
      <c r="H1152">
        <f t="shared" si="17"/>
        <v>1</v>
      </c>
    </row>
    <row r="1153" spans="1:8">
      <c r="A1153">
        <v>2230</v>
      </c>
      <c r="C1153">
        <v>0</v>
      </c>
      <c r="D1153">
        <v>1</v>
      </c>
      <c r="E1153">
        <v>0</v>
      </c>
      <c r="F1153">
        <v>0</v>
      </c>
      <c r="G1153">
        <v>0</v>
      </c>
      <c r="H1153">
        <f t="shared" si="17"/>
        <v>1</v>
      </c>
    </row>
    <row r="1154" spans="1:8">
      <c r="A1154">
        <v>2233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ref="H1154:H1217" si="18">SUM(C1154:G1154)</f>
        <v>1</v>
      </c>
    </row>
    <row r="1155" spans="1:8">
      <c r="A1155">
        <v>2236</v>
      </c>
      <c r="C1155">
        <v>0</v>
      </c>
      <c r="D1155">
        <v>1</v>
      </c>
      <c r="E1155">
        <v>0</v>
      </c>
      <c r="F1155">
        <v>0</v>
      </c>
      <c r="G1155">
        <v>0</v>
      </c>
      <c r="H1155">
        <f t="shared" si="18"/>
        <v>1</v>
      </c>
    </row>
    <row r="1156" spans="1:8">
      <c r="A1156">
        <v>2305</v>
      </c>
      <c r="C1156">
        <v>0</v>
      </c>
      <c r="D1156">
        <v>0</v>
      </c>
      <c r="E1156">
        <v>0</v>
      </c>
      <c r="F1156">
        <v>1</v>
      </c>
      <c r="G1156">
        <v>0</v>
      </c>
      <c r="H1156">
        <f t="shared" si="18"/>
        <v>1</v>
      </c>
    </row>
    <row r="1157" spans="1:8">
      <c r="A1157">
        <v>2312</v>
      </c>
      <c r="C1157">
        <v>0</v>
      </c>
      <c r="D1157">
        <v>0</v>
      </c>
      <c r="E1157">
        <v>1</v>
      </c>
      <c r="F1157">
        <v>0</v>
      </c>
      <c r="G1157">
        <v>0</v>
      </c>
      <c r="H1157">
        <f t="shared" si="18"/>
        <v>1</v>
      </c>
    </row>
    <row r="1158" spans="1:8">
      <c r="A1158">
        <v>2317</v>
      </c>
      <c r="C1158">
        <v>0</v>
      </c>
      <c r="D1158">
        <v>1</v>
      </c>
      <c r="E1158">
        <v>0</v>
      </c>
      <c r="F1158">
        <v>0</v>
      </c>
      <c r="G1158">
        <v>0</v>
      </c>
      <c r="H1158">
        <f t="shared" si="18"/>
        <v>1</v>
      </c>
    </row>
    <row r="1159" spans="1:8">
      <c r="A1159">
        <v>2325</v>
      </c>
      <c r="C1159">
        <v>0</v>
      </c>
      <c r="D1159">
        <v>0</v>
      </c>
      <c r="E1159">
        <v>0</v>
      </c>
      <c r="F1159">
        <v>1</v>
      </c>
      <c r="G1159">
        <v>0</v>
      </c>
      <c r="H1159">
        <f t="shared" si="18"/>
        <v>1</v>
      </c>
    </row>
    <row r="1160" spans="1:8">
      <c r="A1160">
        <v>2342</v>
      </c>
      <c r="C1160">
        <v>0</v>
      </c>
      <c r="D1160">
        <v>1</v>
      </c>
      <c r="E1160">
        <v>0</v>
      </c>
      <c r="F1160">
        <v>0</v>
      </c>
      <c r="G1160">
        <v>0</v>
      </c>
      <c r="H1160">
        <f t="shared" si="18"/>
        <v>1</v>
      </c>
    </row>
    <row r="1161" spans="1:8">
      <c r="A1161">
        <v>2344</v>
      </c>
      <c r="C1161">
        <v>0</v>
      </c>
      <c r="D1161">
        <v>0</v>
      </c>
      <c r="E1161">
        <v>0</v>
      </c>
      <c r="F1161">
        <v>1</v>
      </c>
      <c r="G1161">
        <v>0</v>
      </c>
      <c r="H1161">
        <f t="shared" si="18"/>
        <v>1</v>
      </c>
    </row>
    <row r="1162" spans="1:8">
      <c r="A1162">
        <v>2352</v>
      </c>
      <c r="C1162">
        <v>0</v>
      </c>
      <c r="D1162">
        <v>0</v>
      </c>
      <c r="E1162">
        <v>1</v>
      </c>
      <c r="F1162">
        <v>0</v>
      </c>
      <c r="G1162">
        <v>0</v>
      </c>
      <c r="H1162">
        <f t="shared" si="18"/>
        <v>1</v>
      </c>
    </row>
    <row r="1163" spans="1:8">
      <c r="A1163">
        <v>2353</v>
      </c>
      <c r="C1163">
        <v>0</v>
      </c>
      <c r="D1163">
        <v>1</v>
      </c>
      <c r="E1163">
        <v>0</v>
      </c>
      <c r="F1163">
        <v>0</v>
      </c>
      <c r="G1163">
        <v>0</v>
      </c>
      <c r="H1163">
        <f t="shared" si="18"/>
        <v>1</v>
      </c>
    </row>
    <row r="1164" spans="1:8">
      <c r="A1164">
        <v>2360</v>
      </c>
      <c r="C1164">
        <v>0</v>
      </c>
      <c r="D1164">
        <v>1</v>
      </c>
      <c r="E1164">
        <v>0</v>
      </c>
      <c r="F1164">
        <v>0</v>
      </c>
      <c r="G1164">
        <v>0</v>
      </c>
      <c r="H1164">
        <f t="shared" si="18"/>
        <v>1</v>
      </c>
    </row>
    <row r="1165" spans="1:8">
      <c r="A1165">
        <v>2362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2373</v>
      </c>
      <c r="C1166">
        <v>0</v>
      </c>
      <c r="D1166">
        <v>1</v>
      </c>
      <c r="E1166">
        <v>0</v>
      </c>
      <c r="F1166">
        <v>0</v>
      </c>
      <c r="G1166">
        <v>0</v>
      </c>
      <c r="H1166">
        <f t="shared" si="18"/>
        <v>1</v>
      </c>
    </row>
    <row r="1167" spans="1:8">
      <c r="A1167">
        <v>2375</v>
      </c>
      <c r="C1167">
        <v>0</v>
      </c>
      <c r="D1167">
        <v>0</v>
      </c>
      <c r="E1167">
        <v>1</v>
      </c>
      <c r="F1167">
        <v>0</v>
      </c>
      <c r="G1167">
        <v>0</v>
      </c>
      <c r="H1167">
        <f t="shared" si="18"/>
        <v>1</v>
      </c>
    </row>
    <row r="1168" spans="1:8">
      <c r="A1168">
        <v>2385</v>
      </c>
      <c r="C1168">
        <v>0</v>
      </c>
      <c r="D1168">
        <v>0</v>
      </c>
      <c r="E1168">
        <v>0</v>
      </c>
      <c r="F1168">
        <v>1</v>
      </c>
      <c r="G1168">
        <v>0</v>
      </c>
      <c r="H1168">
        <f t="shared" si="18"/>
        <v>1</v>
      </c>
    </row>
    <row r="1169" spans="1:8">
      <c r="A1169">
        <v>2395</v>
      </c>
      <c r="C1169">
        <v>0</v>
      </c>
      <c r="D1169">
        <v>0</v>
      </c>
      <c r="E1169">
        <v>0</v>
      </c>
      <c r="F1169">
        <v>1</v>
      </c>
      <c r="G1169">
        <v>0</v>
      </c>
      <c r="H1169">
        <f t="shared" si="18"/>
        <v>1</v>
      </c>
    </row>
    <row r="1170" spans="1:8">
      <c r="A1170">
        <v>2409</v>
      </c>
      <c r="C1170">
        <v>0</v>
      </c>
      <c r="D1170">
        <v>0</v>
      </c>
      <c r="E1170">
        <v>0</v>
      </c>
      <c r="F1170">
        <v>1</v>
      </c>
      <c r="G1170">
        <v>0</v>
      </c>
      <c r="H1170">
        <f t="shared" si="18"/>
        <v>1</v>
      </c>
    </row>
    <row r="1171" spans="1:8">
      <c r="A1171">
        <v>2414</v>
      </c>
      <c r="C1171">
        <v>0</v>
      </c>
      <c r="D1171">
        <v>1</v>
      </c>
      <c r="E1171">
        <v>0</v>
      </c>
      <c r="F1171">
        <v>0</v>
      </c>
      <c r="G1171">
        <v>0</v>
      </c>
      <c r="H1171">
        <f t="shared" si="18"/>
        <v>1</v>
      </c>
    </row>
    <row r="1172" spans="1:8">
      <c r="A1172">
        <v>2417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f t="shared" si="18"/>
        <v>1</v>
      </c>
    </row>
    <row r="1173" spans="1:8">
      <c r="A1173">
        <v>2436</v>
      </c>
      <c r="C1173">
        <v>0</v>
      </c>
      <c r="D1173">
        <v>1</v>
      </c>
      <c r="E1173">
        <v>0</v>
      </c>
      <c r="F1173">
        <v>0</v>
      </c>
      <c r="G1173">
        <v>0</v>
      </c>
      <c r="H1173">
        <f t="shared" si="18"/>
        <v>1</v>
      </c>
    </row>
    <row r="1174" spans="1:8">
      <c r="A1174">
        <v>2442</v>
      </c>
      <c r="C1174">
        <v>0</v>
      </c>
      <c r="D1174">
        <v>0</v>
      </c>
      <c r="E1174">
        <v>0</v>
      </c>
      <c r="F1174">
        <v>1</v>
      </c>
      <c r="G1174">
        <v>0</v>
      </c>
      <c r="H1174">
        <f t="shared" si="18"/>
        <v>1</v>
      </c>
    </row>
    <row r="1175" spans="1:8">
      <c r="A1175">
        <v>2448</v>
      </c>
      <c r="C1175">
        <v>0</v>
      </c>
      <c r="D1175">
        <v>0</v>
      </c>
      <c r="E1175">
        <v>0</v>
      </c>
      <c r="F1175">
        <v>1</v>
      </c>
      <c r="G1175">
        <v>0</v>
      </c>
      <c r="H1175">
        <f t="shared" si="18"/>
        <v>1</v>
      </c>
    </row>
    <row r="1176" spans="1:8">
      <c r="A1176">
        <v>2449</v>
      </c>
      <c r="C1176">
        <v>0</v>
      </c>
      <c r="D1176">
        <v>0</v>
      </c>
      <c r="E1176">
        <v>0</v>
      </c>
      <c r="F1176">
        <v>1</v>
      </c>
      <c r="G1176">
        <v>0</v>
      </c>
      <c r="H1176">
        <f t="shared" si="18"/>
        <v>1</v>
      </c>
    </row>
    <row r="1177" spans="1:8">
      <c r="A1177">
        <v>2454</v>
      </c>
      <c r="C1177">
        <v>0</v>
      </c>
      <c r="D1177">
        <v>1</v>
      </c>
      <c r="E1177">
        <v>0</v>
      </c>
      <c r="F1177">
        <v>0</v>
      </c>
      <c r="G1177">
        <v>0</v>
      </c>
      <c r="H1177">
        <f t="shared" si="18"/>
        <v>1</v>
      </c>
    </row>
    <row r="1178" spans="1:8">
      <c r="A1178">
        <v>2459</v>
      </c>
      <c r="C1178">
        <v>0</v>
      </c>
      <c r="D1178">
        <v>1</v>
      </c>
      <c r="E1178">
        <v>0</v>
      </c>
      <c r="F1178">
        <v>0</v>
      </c>
      <c r="G1178">
        <v>0</v>
      </c>
      <c r="H1178">
        <f t="shared" si="18"/>
        <v>1</v>
      </c>
    </row>
    <row r="1179" spans="1:8">
      <c r="A1179">
        <v>2491</v>
      </c>
      <c r="C1179">
        <v>0</v>
      </c>
      <c r="D1179">
        <v>0</v>
      </c>
      <c r="E1179">
        <v>0</v>
      </c>
      <c r="F1179">
        <v>1</v>
      </c>
      <c r="G1179">
        <v>0</v>
      </c>
      <c r="H1179">
        <f t="shared" si="18"/>
        <v>1</v>
      </c>
    </row>
    <row r="1180" spans="1:8">
      <c r="A1180">
        <v>2497</v>
      </c>
      <c r="C1180">
        <v>0</v>
      </c>
      <c r="D1180">
        <v>1</v>
      </c>
      <c r="E1180">
        <v>0</v>
      </c>
      <c r="F1180">
        <v>0</v>
      </c>
      <c r="G1180">
        <v>0</v>
      </c>
      <c r="H1180">
        <f t="shared" si="18"/>
        <v>1</v>
      </c>
    </row>
    <row r="1181" spans="1:8">
      <c r="A1181">
        <v>2498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f t="shared" si="18"/>
        <v>1</v>
      </c>
    </row>
    <row r="1182" spans="1:8">
      <c r="A1182">
        <v>2499</v>
      </c>
      <c r="C1182">
        <v>0</v>
      </c>
      <c r="D1182">
        <v>1</v>
      </c>
      <c r="E1182">
        <v>0</v>
      </c>
      <c r="F1182">
        <v>0</v>
      </c>
      <c r="G1182">
        <v>0</v>
      </c>
      <c r="H1182">
        <f t="shared" si="18"/>
        <v>1</v>
      </c>
    </row>
    <row r="1183" spans="1:8">
      <c r="A1183">
        <v>2506</v>
      </c>
      <c r="C1183">
        <v>0</v>
      </c>
      <c r="D1183">
        <v>1</v>
      </c>
      <c r="E1183">
        <v>0</v>
      </c>
      <c r="F1183">
        <v>0</v>
      </c>
      <c r="G1183">
        <v>0</v>
      </c>
      <c r="H1183">
        <f t="shared" si="18"/>
        <v>1</v>
      </c>
    </row>
    <row r="1184" spans="1:8">
      <c r="A1184">
        <v>2516</v>
      </c>
      <c r="C1184">
        <v>0</v>
      </c>
      <c r="D1184">
        <v>1</v>
      </c>
      <c r="E1184">
        <v>0</v>
      </c>
      <c r="F1184">
        <v>0</v>
      </c>
      <c r="G1184">
        <v>0</v>
      </c>
      <c r="H1184">
        <f t="shared" si="18"/>
        <v>1</v>
      </c>
    </row>
    <row r="1185" spans="1:8">
      <c r="A1185">
        <v>2527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f t="shared" si="18"/>
        <v>1</v>
      </c>
    </row>
    <row r="1186" spans="1:8">
      <c r="A1186">
        <v>2534</v>
      </c>
      <c r="C1186">
        <v>0</v>
      </c>
      <c r="D1186">
        <v>1</v>
      </c>
      <c r="E1186">
        <v>0</v>
      </c>
      <c r="F1186">
        <v>0</v>
      </c>
      <c r="G1186">
        <v>0</v>
      </c>
      <c r="H1186">
        <f t="shared" si="18"/>
        <v>1</v>
      </c>
    </row>
    <row r="1187" spans="1:8">
      <c r="A1187">
        <v>2540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2542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f t="shared" si="18"/>
        <v>1</v>
      </c>
    </row>
    <row r="1189" spans="1:8">
      <c r="A1189">
        <v>2543</v>
      </c>
      <c r="C1189">
        <v>0</v>
      </c>
      <c r="D1189">
        <v>1</v>
      </c>
      <c r="E1189">
        <v>0</v>
      </c>
      <c r="F1189">
        <v>0</v>
      </c>
      <c r="G1189">
        <v>0</v>
      </c>
      <c r="H1189">
        <f t="shared" si="18"/>
        <v>1</v>
      </c>
    </row>
    <row r="1190" spans="1:8">
      <c r="A1190">
        <v>2548</v>
      </c>
      <c r="C1190">
        <v>0</v>
      </c>
      <c r="D1190">
        <v>1</v>
      </c>
      <c r="E1190">
        <v>0</v>
      </c>
      <c r="F1190">
        <v>0</v>
      </c>
      <c r="G1190">
        <v>0</v>
      </c>
      <c r="H1190">
        <f t="shared" si="18"/>
        <v>1</v>
      </c>
    </row>
    <row r="1191" spans="1:8">
      <c r="A1191">
        <v>2603</v>
      </c>
      <c r="C1191">
        <v>0</v>
      </c>
      <c r="D1191">
        <v>0</v>
      </c>
      <c r="E1191">
        <v>1</v>
      </c>
      <c r="F1191">
        <v>0</v>
      </c>
      <c r="G1191">
        <v>0</v>
      </c>
      <c r="H1191">
        <f t="shared" si="18"/>
        <v>1</v>
      </c>
    </row>
    <row r="1192" spans="1:8">
      <c r="A1192">
        <v>2609</v>
      </c>
      <c r="C1192">
        <v>0</v>
      </c>
      <c r="D1192">
        <v>0</v>
      </c>
      <c r="E1192">
        <v>1</v>
      </c>
      <c r="F1192">
        <v>0</v>
      </c>
      <c r="G1192">
        <v>0</v>
      </c>
      <c r="H1192">
        <f t="shared" si="18"/>
        <v>1</v>
      </c>
    </row>
    <row r="1193" spans="1:8">
      <c r="A1193">
        <v>2707</v>
      </c>
      <c r="C1193">
        <v>0</v>
      </c>
      <c r="D1193">
        <v>0</v>
      </c>
      <c r="E1193">
        <v>0</v>
      </c>
      <c r="F1193">
        <v>1</v>
      </c>
      <c r="G1193">
        <v>0</v>
      </c>
      <c r="H1193">
        <f t="shared" si="18"/>
        <v>1</v>
      </c>
    </row>
    <row r="1194" spans="1:8">
      <c r="A1194">
        <v>2722</v>
      </c>
      <c r="C1194">
        <v>0</v>
      </c>
      <c r="D1194">
        <v>1</v>
      </c>
      <c r="E1194">
        <v>0</v>
      </c>
      <c r="F1194">
        <v>0</v>
      </c>
      <c r="G1194">
        <v>0</v>
      </c>
      <c r="H1194">
        <f t="shared" si="18"/>
        <v>1</v>
      </c>
    </row>
    <row r="1195" spans="1:8">
      <c r="A1195">
        <v>2727</v>
      </c>
      <c r="C1195">
        <v>0</v>
      </c>
      <c r="D1195">
        <v>0</v>
      </c>
      <c r="E1195">
        <v>0</v>
      </c>
      <c r="F1195">
        <v>1</v>
      </c>
      <c r="G1195">
        <v>0</v>
      </c>
      <c r="H1195">
        <f t="shared" si="18"/>
        <v>1</v>
      </c>
    </row>
    <row r="1196" spans="1:8">
      <c r="A1196">
        <v>2731</v>
      </c>
      <c r="C1196">
        <v>0</v>
      </c>
      <c r="D1196">
        <v>0</v>
      </c>
      <c r="E1196">
        <v>1</v>
      </c>
      <c r="F1196">
        <v>0</v>
      </c>
      <c r="G1196">
        <v>0</v>
      </c>
      <c r="H1196">
        <f t="shared" si="18"/>
        <v>1</v>
      </c>
    </row>
    <row r="1197" spans="1:8">
      <c r="A1197">
        <v>2841</v>
      </c>
      <c r="C1197">
        <v>0</v>
      </c>
      <c r="D1197">
        <v>0</v>
      </c>
      <c r="E1197">
        <v>1</v>
      </c>
      <c r="F1197">
        <v>0</v>
      </c>
      <c r="G1197">
        <v>0</v>
      </c>
      <c r="H1197">
        <f t="shared" si="18"/>
        <v>1</v>
      </c>
    </row>
    <row r="1198" spans="1:8">
      <c r="A1198">
        <v>2908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2910</v>
      </c>
      <c r="C1199">
        <v>0</v>
      </c>
      <c r="D1199">
        <v>0</v>
      </c>
      <c r="E1199">
        <v>0</v>
      </c>
      <c r="F1199">
        <v>1</v>
      </c>
      <c r="G1199">
        <v>0</v>
      </c>
      <c r="H1199">
        <f t="shared" si="18"/>
        <v>1</v>
      </c>
    </row>
    <row r="1200" spans="1:8">
      <c r="A1200">
        <v>2911</v>
      </c>
      <c r="C1200">
        <v>0</v>
      </c>
      <c r="D1200">
        <v>1</v>
      </c>
      <c r="E1200">
        <v>0</v>
      </c>
      <c r="F1200">
        <v>0</v>
      </c>
      <c r="G1200">
        <v>0</v>
      </c>
      <c r="H1200">
        <f t="shared" si="18"/>
        <v>1</v>
      </c>
    </row>
    <row r="1201" spans="1:8">
      <c r="A1201">
        <v>2913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2916</v>
      </c>
      <c r="C1202">
        <v>0</v>
      </c>
      <c r="D1202">
        <v>1</v>
      </c>
      <c r="E1202">
        <v>0</v>
      </c>
      <c r="F1202">
        <v>0</v>
      </c>
      <c r="G1202">
        <v>0</v>
      </c>
      <c r="H1202">
        <f t="shared" si="18"/>
        <v>1</v>
      </c>
    </row>
    <row r="1203" spans="1:8">
      <c r="A1203">
        <v>2924</v>
      </c>
      <c r="C1203">
        <v>0</v>
      </c>
      <c r="D1203">
        <v>1</v>
      </c>
      <c r="E1203">
        <v>0</v>
      </c>
      <c r="F1203">
        <v>0</v>
      </c>
      <c r="G1203">
        <v>0</v>
      </c>
      <c r="H1203">
        <f t="shared" si="18"/>
        <v>1</v>
      </c>
    </row>
    <row r="1204" spans="1:8">
      <c r="A1204">
        <v>2929</v>
      </c>
      <c r="C1204">
        <v>0</v>
      </c>
      <c r="D1204">
        <v>0</v>
      </c>
      <c r="E1204">
        <v>0</v>
      </c>
      <c r="F1204">
        <v>1</v>
      </c>
      <c r="G1204">
        <v>0</v>
      </c>
      <c r="H1204">
        <f t="shared" si="18"/>
        <v>1</v>
      </c>
    </row>
    <row r="1205" spans="1:8">
      <c r="A1205">
        <v>3010</v>
      </c>
      <c r="C1205">
        <v>0</v>
      </c>
      <c r="D1205">
        <v>0</v>
      </c>
      <c r="E1205">
        <v>1</v>
      </c>
      <c r="F1205">
        <v>0</v>
      </c>
      <c r="G1205">
        <v>0</v>
      </c>
      <c r="H1205">
        <f t="shared" si="18"/>
        <v>1</v>
      </c>
    </row>
    <row r="1206" spans="1:8">
      <c r="A1206">
        <v>3011</v>
      </c>
      <c r="C1206">
        <v>0</v>
      </c>
      <c r="D1206">
        <v>1</v>
      </c>
      <c r="E1206">
        <v>0</v>
      </c>
      <c r="F1206">
        <v>0</v>
      </c>
      <c r="G1206">
        <v>0</v>
      </c>
      <c r="H1206">
        <f t="shared" si="18"/>
        <v>1</v>
      </c>
    </row>
    <row r="1207" spans="1:8">
      <c r="A1207">
        <v>3028</v>
      </c>
      <c r="C1207">
        <v>0</v>
      </c>
      <c r="D1207">
        <v>1</v>
      </c>
      <c r="E1207">
        <v>0</v>
      </c>
      <c r="F1207">
        <v>0</v>
      </c>
      <c r="G1207">
        <v>0</v>
      </c>
      <c r="H1207">
        <f t="shared" si="18"/>
        <v>1</v>
      </c>
    </row>
    <row r="1208" spans="1:8">
      <c r="A1208">
        <v>3030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f t="shared" si="18"/>
        <v>1</v>
      </c>
    </row>
    <row r="1209" spans="1:8">
      <c r="A1209">
        <v>3035</v>
      </c>
      <c r="C1209">
        <v>0</v>
      </c>
      <c r="D1209">
        <v>1</v>
      </c>
      <c r="E1209">
        <v>0</v>
      </c>
      <c r="F1209">
        <v>0</v>
      </c>
      <c r="G1209">
        <v>0</v>
      </c>
      <c r="H1209">
        <f t="shared" si="18"/>
        <v>1</v>
      </c>
    </row>
    <row r="1210" spans="1:8">
      <c r="A1210">
        <v>3036</v>
      </c>
      <c r="C1210">
        <v>0</v>
      </c>
      <c r="D1210">
        <v>1</v>
      </c>
      <c r="E1210">
        <v>0</v>
      </c>
      <c r="F1210">
        <v>0</v>
      </c>
      <c r="G1210">
        <v>0</v>
      </c>
      <c r="H1210">
        <f t="shared" si="18"/>
        <v>1</v>
      </c>
    </row>
    <row r="1211" spans="1:8">
      <c r="A1211">
        <v>3054</v>
      </c>
      <c r="C1211">
        <v>0</v>
      </c>
      <c r="D1211">
        <v>0</v>
      </c>
      <c r="E1211">
        <v>0</v>
      </c>
      <c r="F1211">
        <v>1</v>
      </c>
      <c r="G1211">
        <v>0</v>
      </c>
      <c r="H1211">
        <f t="shared" si="18"/>
        <v>1</v>
      </c>
    </row>
    <row r="1212" spans="1:8">
      <c r="A1212">
        <v>3058</v>
      </c>
      <c r="C1212">
        <v>0</v>
      </c>
      <c r="D1212">
        <v>0</v>
      </c>
      <c r="E1212">
        <v>0</v>
      </c>
      <c r="F1212">
        <v>1</v>
      </c>
      <c r="G1212">
        <v>0</v>
      </c>
      <c r="H1212">
        <f t="shared" si="18"/>
        <v>1</v>
      </c>
    </row>
    <row r="1213" spans="1:8">
      <c r="A1213">
        <v>3066</v>
      </c>
      <c r="C1213">
        <v>0</v>
      </c>
      <c r="D1213">
        <v>0</v>
      </c>
      <c r="E1213">
        <v>0</v>
      </c>
      <c r="F1213">
        <v>1</v>
      </c>
      <c r="G1213">
        <v>0</v>
      </c>
      <c r="H1213">
        <f t="shared" si="18"/>
        <v>1</v>
      </c>
    </row>
    <row r="1214" spans="1:8">
      <c r="A1214">
        <v>3073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f t="shared" si="18"/>
        <v>1</v>
      </c>
    </row>
    <row r="1215" spans="1:8">
      <c r="A1215">
        <v>3081</v>
      </c>
      <c r="C1215">
        <v>1</v>
      </c>
      <c r="D1215">
        <v>0</v>
      </c>
      <c r="E1215">
        <v>0</v>
      </c>
      <c r="F1215">
        <v>0</v>
      </c>
      <c r="G1215">
        <v>0</v>
      </c>
      <c r="H1215">
        <f t="shared" si="18"/>
        <v>1</v>
      </c>
    </row>
    <row r="1216" spans="1:8">
      <c r="A1216">
        <v>3089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f t="shared" si="18"/>
        <v>1</v>
      </c>
    </row>
    <row r="1217" spans="1:8">
      <c r="A1217">
        <v>3115</v>
      </c>
      <c r="C1217">
        <v>0</v>
      </c>
      <c r="D1217">
        <v>0</v>
      </c>
      <c r="E1217">
        <v>0</v>
      </c>
      <c r="F1217">
        <v>1</v>
      </c>
      <c r="G1217">
        <v>0</v>
      </c>
      <c r="H1217">
        <f t="shared" si="18"/>
        <v>1</v>
      </c>
    </row>
    <row r="1218" spans="1:8">
      <c r="A1218">
        <v>3122</v>
      </c>
      <c r="C1218">
        <v>0</v>
      </c>
      <c r="D1218">
        <v>0</v>
      </c>
      <c r="E1218">
        <v>0</v>
      </c>
      <c r="F1218">
        <v>1</v>
      </c>
      <c r="G1218">
        <v>0</v>
      </c>
      <c r="H1218">
        <f t="shared" ref="H1218:H1281" si="19">SUM(C1218:G1218)</f>
        <v>1</v>
      </c>
    </row>
    <row r="1219" spans="1:8">
      <c r="A1219">
        <v>3131</v>
      </c>
      <c r="C1219">
        <v>0</v>
      </c>
      <c r="D1219">
        <v>1</v>
      </c>
      <c r="E1219">
        <v>0</v>
      </c>
      <c r="F1219">
        <v>0</v>
      </c>
      <c r="G1219">
        <v>0</v>
      </c>
      <c r="H1219">
        <f t="shared" si="19"/>
        <v>1</v>
      </c>
    </row>
    <row r="1220" spans="1:8">
      <c r="A1220">
        <v>3163</v>
      </c>
      <c r="C1220">
        <v>0</v>
      </c>
      <c r="D1220">
        <v>0</v>
      </c>
      <c r="E1220">
        <v>0</v>
      </c>
      <c r="F1220">
        <v>1</v>
      </c>
      <c r="G1220">
        <v>0</v>
      </c>
      <c r="H1220">
        <f t="shared" si="19"/>
        <v>1</v>
      </c>
    </row>
    <row r="1221" spans="1:8">
      <c r="A1221">
        <v>3169</v>
      </c>
      <c r="C1221">
        <v>0</v>
      </c>
      <c r="D1221">
        <v>0</v>
      </c>
      <c r="E1221">
        <v>0</v>
      </c>
      <c r="F1221">
        <v>1</v>
      </c>
      <c r="G1221">
        <v>0</v>
      </c>
      <c r="H1221">
        <f t="shared" si="19"/>
        <v>1</v>
      </c>
    </row>
    <row r="1222" spans="1:8">
      <c r="A1222">
        <v>3219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f t="shared" si="19"/>
        <v>1</v>
      </c>
    </row>
    <row r="1223" spans="1:8">
      <c r="A1223">
        <v>3232</v>
      </c>
      <c r="C1223">
        <v>0</v>
      </c>
      <c r="D1223">
        <v>0</v>
      </c>
      <c r="E1223">
        <v>0</v>
      </c>
      <c r="F1223">
        <v>1</v>
      </c>
      <c r="G1223">
        <v>0</v>
      </c>
      <c r="H1223">
        <f t="shared" si="19"/>
        <v>1</v>
      </c>
    </row>
    <row r="1224" spans="1:8">
      <c r="A1224">
        <v>3252</v>
      </c>
      <c r="C1224">
        <v>0</v>
      </c>
      <c r="D1224">
        <v>0</v>
      </c>
      <c r="E1224">
        <v>1</v>
      </c>
      <c r="F1224">
        <v>0</v>
      </c>
      <c r="G1224">
        <v>0</v>
      </c>
      <c r="H1224">
        <f t="shared" si="19"/>
        <v>1</v>
      </c>
    </row>
    <row r="1225" spans="1:8">
      <c r="A1225">
        <v>3259</v>
      </c>
      <c r="C1225">
        <v>0</v>
      </c>
      <c r="D1225">
        <v>0</v>
      </c>
      <c r="E1225">
        <v>0</v>
      </c>
      <c r="F1225">
        <v>1</v>
      </c>
      <c r="G1225">
        <v>0</v>
      </c>
      <c r="H1225">
        <f t="shared" si="19"/>
        <v>1</v>
      </c>
    </row>
    <row r="1226" spans="1:8">
      <c r="A1226">
        <v>3290</v>
      </c>
      <c r="C1226">
        <v>0</v>
      </c>
      <c r="D1226">
        <v>0</v>
      </c>
      <c r="E1226">
        <v>1</v>
      </c>
      <c r="F1226">
        <v>0</v>
      </c>
      <c r="G1226">
        <v>0</v>
      </c>
      <c r="H1226">
        <f t="shared" si="19"/>
        <v>1</v>
      </c>
    </row>
    <row r="1227" spans="1:8">
      <c r="A1227">
        <v>3297</v>
      </c>
      <c r="C1227">
        <v>0</v>
      </c>
      <c r="D1227">
        <v>1</v>
      </c>
      <c r="E1227">
        <v>0</v>
      </c>
      <c r="F1227">
        <v>0</v>
      </c>
      <c r="G1227">
        <v>0</v>
      </c>
      <c r="H1227">
        <f t="shared" si="19"/>
        <v>1</v>
      </c>
    </row>
    <row r="1228" spans="1:8">
      <c r="A1228">
        <v>3322</v>
      </c>
      <c r="C1228">
        <v>0</v>
      </c>
      <c r="D1228">
        <v>1</v>
      </c>
      <c r="E1228">
        <v>0</v>
      </c>
      <c r="F1228">
        <v>0</v>
      </c>
      <c r="G1228">
        <v>0</v>
      </c>
      <c r="H1228">
        <f t="shared" si="19"/>
        <v>1</v>
      </c>
    </row>
    <row r="1229" spans="1:8">
      <c r="A1229">
        <v>3360</v>
      </c>
      <c r="C1229">
        <v>0</v>
      </c>
      <c r="D1229">
        <v>1</v>
      </c>
      <c r="E1229">
        <v>0</v>
      </c>
      <c r="F1229">
        <v>0</v>
      </c>
      <c r="G1229">
        <v>0</v>
      </c>
      <c r="H1229">
        <f t="shared" si="19"/>
        <v>1</v>
      </c>
    </row>
    <row r="1230" spans="1:8">
      <c r="A1230">
        <v>3383</v>
      </c>
      <c r="C1230">
        <v>0</v>
      </c>
      <c r="D1230">
        <v>0</v>
      </c>
      <c r="E1230">
        <v>0</v>
      </c>
      <c r="F1230">
        <v>1</v>
      </c>
      <c r="G1230">
        <v>0</v>
      </c>
      <c r="H1230">
        <f t="shared" si="19"/>
        <v>1</v>
      </c>
    </row>
    <row r="1231" spans="1:8">
      <c r="A1231">
        <v>3402</v>
      </c>
      <c r="C1231">
        <v>0</v>
      </c>
      <c r="D1231">
        <v>0</v>
      </c>
      <c r="E1231">
        <v>0</v>
      </c>
      <c r="F1231">
        <v>1</v>
      </c>
      <c r="G1231">
        <v>0</v>
      </c>
      <c r="H1231">
        <f t="shared" si="19"/>
        <v>1</v>
      </c>
    </row>
    <row r="1232" spans="1:8">
      <c r="A1232">
        <v>3432</v>
      </c>
      <c r="C1232">
        <v>0</v>
      </c>
      <c r="D1232">
        <v>1</v>
      </c>
      <c r="E1232">
        <v>0</v>
      </c>
      <c r="F1232">
        <v>0</v>
      </c>
      <c r="G1232">
        <v>0</v>
      </c>
      <c r="H1232">
        <f t="shared" si="19"/>
        <v>1</v>
      </c>
    </row>
    <row r="1233" spans="1:8">
      <c r="A1233">
        <v>3444</v>
      </c>
      <c r="C1233">
        <v>0</v>
      </c>
      <c r="D1233">
        <v>1</v>
      </c>
      <c r="E1233">
        <v>0</v>
      </c>
      <c r="F1233">
        <v>0</v>
      </c>
      <c r="G1233">
        <v>0</v>
      </c>
      <c r="H1233">
        <f t="shared" si="19"/>
        <v>1</v>
      </c>
    </row>
    <row r="1234" spans="1:8">
      <c r="A1234">
        <v>3481</v>
      </c>
      <c r="C1234">
        <v>0</v>
      </c>
      <c r="D1234">
        <v>0</v>
      </c>
      <c r="E1234">
        <v>0</v>
      </c>
      <c r="F1234">
        <v>1</v>
      </c>
      <c r="G1234">
        <v>0</v>
      </c>
      <c r="H1234">
        <f t="shared" si="19"/>
        <v>1</v>
      </c>
    </row>
    <row r="1235" spans="1:8">
      <c r="A1235">
        <v>3484</v>
      </c>
      <c r="C1235">
        <v>0</v>
      </c>
      <c r="D1235">
        <v>1</v>
      </c>
      <c r="E1235">
        <v>0</v>
      </c>
      <c r="F1235">
        <v>0</v>
      </c>
      <c r="G1235">
        <v>0</v>
      </c>
      <c r="H1235">
        <f t="shared" si="19"/>
        <v>1</v>
      </c>
    </row>
    <row r="1236" spans="1:8">
      <c r="A1236">
        <v>3490</v>
      </c>
      <c r="C1236">
        <v>0</v>
      </c>
      <c r="D1236">
        <v>0</v>
      </c>
      <c r="E1236">
        <v>0</v>
      </c>
      <c r="F1236">
        <v>1</v>
      </c>
      <c r="G1236">
        <v>0</v>
      </c>
      <c r="H1236">
        <f t="shared" si="19"/>
        <v>1</v>
      </c>
    </row>
    <row r="1237" spans="1:8">
      <c r="A1237">
        <v>3515</v>
      </c>
      <c r="C1237">
        <v>0</v>
      </c>
      <c r="D1237">
        <v>1</v>
      </c>
      <c r="E1237">
        <v>0</v>
      </c>
      <c r="F1237">
        <v>0</v>
      </c>
      <c r="G1237">
        <v>0</v>
      </c>
      <c r="H1237">
        <f t="shared" si="19"/>
        <v>1</v>
      </c>
    </row>
    <row r="1238" spans="1:8">
      <c r="A1238">
        <v>3516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3518</v>
      </c>
      <c r="C1239">
        <v>0</v>
      </c>
      <c r="D1239">
        <v>1</v>
      </c>
      <c r="E1239">
        <v>0</v>
      </c>
      <c r="F1239">
        <v>0</v>
      </c>
      <c r="G1239">
        <v>0</v>
      </c>
      <c r="H1239">
        <f t="shared" si="19"/>
        <v>1</v>
      </c>
    </row>
    <row r="1240" spans="1:8">
      <c r="A1240">
        <v>3523</v>
      </c>
      <c r="C1240">
        <v>0</v>
      </c>
      <c r="D1240">
        <v>1</v>
      </c>
      <c r="E1240">
        <v>0</v>
      </c>
      <c r="F1240">
        <v>0</v>
      </c>
      <c r="G1240">
        <v>0</v>
      </c>
      <c r="H1240">
        <f t="shared" si="19"/>
        <v>1</v>
      </c>
    </row>
    <row r="1241" spans="1:8">
      <c r="A1241">
        <v>3527</v>
      </c>
      <c r="C1241">
        <v>0</v>
      </c>
      <c r="D1241">
        <v>1</v>
      </c>
      <c r="E1241">
        <v>0</v>
      </c>
      <c r="F1241">
        <v>0</v>
      </c>
      <c r="G1241">
        <v>0</v>
      </c>
      <c r="H1241">
        <f t="shared" si="19"/>
        <v>1</v>
      </c>
    </row>
    <row r="1242" spans="1:8">
      <c r="A1242">
        <v>3528</v>
      </c>
      <c r="C1242">
        <v>0</v>
      </c>
      <c r="D1242">
        <v>1</v>
      </c>
      <c r="E1242">
        <v>0</v>
      </c>
      <c r="F1242">
        <v>0</v>
      </c>
      <c r="G1242">
        <v>0</v>
      </c>
      <c r="H1242">
        <f t="shared" si="19"/>
        <v>1</v>
      </c>
    </row>
    <row r="1243" spans="1:8">
      <c r="A1243">
        <v>3551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f t="shared" si="19"/>
        <v>1</v>
      </c>
    </row>
    <row r="1244" spans="1:8">
      <c r="A1244">
        <v>3555</v>
      </c>
      <c r="C1244">
        <v>0</v>
      </c>
      <c r="D1244">
        <v>1</v>
      </c>
      <c r="E1244">
        <v>0</v>
      </c>
      <c r="F1244">
        <v>0</v>
      </c>
      <c r="G1244">
        <v>0</v>
      </c>
      <c r="H1244">
        <f t="shared" si="19"/>
        <v>1</v>
      </c>
    </row>
    <row r="1245" spans="1:8">
      <c r="A1245">
        <v>3556</v>
      </c>
      <c r="C1245">
        <v>0</v>
      </c>
      <c r="D1245">
        <v>0</v>
      </c>
      <c r="E1245">
        <v>0</v>
      </c>
      <c r="F1245">
        <v>1</v>
      </c>
      <c r="G1245">
        <v>0</v>
      </c>
      <c r="H1245">
        <f t="shared" si="19"/>
        <v>1</v>
      </c>
    </row>
    <row r="1246" spans="1:8">
      <c r="A1246">
        <v>3580</v>
      </c>
      <c r="C1246">
        <v>0</v>
      </c>
      <c r="D1246">
        <v>1</v>
      </c>
      <c r="E1246">
        <v>0</v>
      </c>
      <c r="F1246">
        <v>0</v>
      </c>
      <c r="G1246">
        <v>0</v>
      </c>
      <c r="H1246">
        <f t="shared" si="19"/>
        <v>1</v>
      </c>
    </row>
    <row r="1247" spans="1:8">
      <c r="A1247">
        <v>3630</v>
      </c>
      <c r="C1247">
        <v>0</v>
      </c>
      <c r="D1247">
        <v>1</v>
      </c>
      <c r="E1247">
        <v>0</v>
      </c>
      <c r="F1247">
        <v>0</v>
      </c>
      <c r="G1247">
        <v>0</v>
      </c>
      <c r="H1247">
        <f t="shared" si="19"/>
        <v>1</v>
      </c>
    </row>
    <row r="1248" spans="1:8">
      <c r="A1248">
        <v>3642</v>
      </c>
      <c r="C1248">
        <v>0</v>
      </c>
      <c r="D1248">
        <v>0</v>
      </c>
      <c r="E1248">
        <v>0</v>
      </c>
      <c r="F1248">
        <v>1</v>
      </c>
      <c r="G1248">
        <v>0</v>
      </c>
      <c r="H1248">
        <f t="shared" si="19"/>
        <v>1</v>
      </c>
    </row>
    <row r="1249" spans="1:8">
      <c r="A1249">
        <v>3652</v>
      </c>
      <c r="C1249">
        <v>0</v>
      </c>
      <c r="D1249">
        <v>1</v>
      </c>
      <c r="E1249">
        <v>0</v>
      </c>
      <c r="F1249">
        <v>0</v>
      </c>
      <c r="G1249">
        <v>0</v>
      </c>
      <c r="H1249">
        <f t="shared" si="19"/>
        <v>1</v>
      </c>
    </row>
    <row r="1250" spans="1:8">
      <c r="A1250">
        <v>3662</v>
      </c>
      <c r="C1250">
        <v>0</v>
      </c>
      <c r="D1250">
        <v>0</v>
      </c>
      <c r="E1250">
        <v>1</v>
      </c>
      <c r="F1250">
        <v>0</v>
      </c>
      <c r="G1250">
        <v>0</v>
      </c>
      <c r="H1250">
        <f t="shared" si="19"/>
        <v>1</v>
      </c>
    </row>
    <row r="1251" spans="1:8">
      <c r="A1251">
        <v>3663</v>
      </c>
      <c r="C1251">
        <v>0</v>
      </c>
      <c r="D1251">
        <v>0</v>
      </c>
      <c r="E1251">
        <v>0</v>
      </c>
      <c r="F1251">
        <v>1</v>
      </c>
      <c r="G1251">
        <v>0</v>
      </c>
      <c r="H1251">
        <f t="shared" si="19"/>
        <v>1</v>
      </c>
    </row>
    <row r="1252" spans="1:8">
      <c r="A1252">
        <v>3689</v>
      </c>
      <c r="C1252">
        <v>0</v>
      </c>
      <c r="D1252">
        <v>0</v>
      </c>
      <c r="E1252">
        <v>1</v>
      </c>
      <c r="F1252">
        <v>0</v>
      </c>
      <c r="G1252">
        <v>0</v>
      </c>
      <c r="H1252">
        <f t="shared" si="19"/>
        <v>1</v>
      </c>
    </row>
    <row r="1253" spans="1:8">
      <c r="A1253">
        <v>3698</v>
      </c>
      <c r="C1253">
        <v>0</v>
      </c>
      <c r="D1253">
        <v>0</v>
      </c>
      <c r="E1253">
        <v>0</v>
      </c>
      <c r="F1253">
        <v>1</v>
      </c>
      <c r="G1253">
        <v>0</v>
      </c>
      <c r="H1253">
        <f t="shared" si="19"/>
        <v>1</v>
      </c>
    </row>
    <row r="1254" spans="1:8">
      <c r="A1254">
        <v>3702</v>
      </c>
      <c r="C1254">
        <v>0</v>
      </c>
      <c r="D1254">
        <v>1</v>
      </c>
      <c r="E1254">
        <v>0</v>
      </c>
      <c r="F1254">
        <v>0</v>
      </c>
      <c r="G1254">
        <v>0</v>
      </c>
      <c r="H1254">
        <f t="shared" si="19"/>
        <v>1</v>
      </c>
    </row>
    <row r="1255" spans="1:8">
      <c r="A1255">
        <v>3707</v>
      </c>
      <c r="C1255">
        <v>1</v>
      </c>
      <c r="D1255">
        <v>0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4106</v>
      </c>
      <c r="C1256">
        <v>0</v>
      </c>
      <c r="D1256">
        <v>0</v>
      </c>
      <c r="E1256">
        <v>0</v>
      </c>
      <c r="F1256">
        <v>1</v>
      </c>
      <c r="G1256">
        <v>0</v>
      </c>
      <c r="H1256">
        <f t="shared" si="19"/>
        <v>1</v>
      </c>
    </row>
    <row r="1257" spans="1:8">
      <c r="A1257">
        <v>4141</v>
      </c>
      <c r="C1257">
        <v>0</v>
      </c>
      <c r="D1257">
        <v>0</v>
      </c>
      <c r="E1257">
        <v>0</v>
      </c>
      <c r="F1257">
        <v>1</v>
      </c>
      <c r="G1257">
        <v>0</v>
      </c>
      <c r="H1257">
        <f t="shared" si="19"/>
        <v>1</v>
      </c>
    </row>
    <row r="1258" spans="1:8">
      <c r="A1258">
        <v>4152</v>
      </c>
      <c r="C1258">
        <v>0</v>
      </c>
      <c r="D1258">
        <v>0</v>
      </c>
      <c r="E1258">
        <v>1</v>
      </c>
      <c r="F1258">
        <v>0</v>
      </c>
      <c r="G1258">
        <v>0</v>
      </c>
      <c r="H1258">
        <f t="shared" si="19"/>
        <v>1</v>
      </c>
    </row>
    <row r="1259" spans="1:8">
      <c r="A1259">
        <v>4160</v>
      </c>
      <c r="C1259">
        <v>0</v>
      </c>
      <c r="D1259">
        <v>1</v>
      </c>
      <c r="E1259">
        <v>0</v>
      </c>
      <c r="F1259">
        <v>0</v>
      </c>
      <c r="G1259">
        <v>0</v>
      </c>
      <c r="H1259">
        <f t="shared" si="19"/>
        <v>1</v>
      </c>
    </row>
    <row r="1260" spans="1:8">
      <c r="A1260">
        <v>4167</v>
      </c>
      <c r="C1260">
        <v>0</v>
      </c>
      <c r="D1260">
        <v>1</v>
      </c>
      <c r="E1260">
        <v>0</v>
      </c>
      <c r="F1260">
        <v>0</v>
      </c>
      <c r="G1260">
        <v>0</v>
      </c>
      <c r="H1260">
        <f t="shared" si="19"/>
        <v>1</v>
      </c>
    </row>
    <row r="1261" spans="1:8">
      <c r="A1261">
        <v>4168</v>
      </c>
      <c r="C1261">
        <v>0</v>
      </c>
      <c r="D1261">
        <v>1</v>
      </c>
      <c r="E1261">
        <v>0</v>
      </c>
      <c r="F1261">
        <v>0</v>
      </c>
      <c r="G1261">
        <v>0</v>
      </c>
      <c r="H1261">
        <f t="shared" si="19"/>
        <v>1</v>
      </c>
    </row>
    <row r="1262" spans="1:8">
      <c r="A1262">
        <v>4173</v>
      </c>
      <c r="C1262">
        <v>0</v>
      </c>
      <c r="D1262">
        <v>0</v>
      </c>
      <c r="E1262">
        <v>1</v>
      </c>
      <c r="F1262">
        <v>0</v>
      </c>
      <c r="G1262">
        <v>0</v>
      </c>
      <c r="H1262">
        <f t="shared" si="19"/>
        <v>1</v>
      </c>
    </row>
    <row r="1263" spans="1:8">
      <c r="A1263">
        <v>4174</v>
      </c>
      <c r="C1263">
        <v>0</v>
      </c>
      <c r="D1263">
        <v>0</v>
      </c>
      <c r="E1263">
        <v>1</v>
      </c>
      <c r="F1263">
        <v>0</v>
      </c>
      <c r="G1263">
        <v>0</v>
      </c>
      <c r="H1263">
        <f t="shared" si="19"/>
        <v>1</v>
      </c>
    </row>
    <row r="1264" spans="1:8">
      <c r="A1264">
        <v>4175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f t="shared" si="19"/>
        <v>1</v>
      </c>
    </row>
    <row r="1265" spans="1:8">
      <c r="A1265">
        <v>4207</v>
      </c>
      <c r="C1265">
        <v>0</v>
      </c>
      <c r="D1265">
        <v>0</v>
      </c>
      <c r="E1265">
        <v>0</v>
      </c>
      <c r="F1265">
        <v>1</v>
      </c>
      <c r="G1265">
        <v>0</v>
      </c>
      <c r="H1265">
        <f t="shared" si="19"/>
        <v>1</v>
      </c>
    </row>
    <row r="1266" spans="1:8">
      <c r="A1266">
        <v>4406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4414</v>
      </c>
      <c r="C1267">
        <v>0</v>
      </c>
      <c r="D1267">
        <v>1</v>
      </c>
      <c r="E1267">
        <v>0</v>
      </c>
      <c r="F1267">
        <v>0</v>
      </c>
      <c r="G1267">
        <v>0</v>
      </c>
      <c r="H1267">
        <f t="shared" si="19"/>
        <v>1</v>
      </c>
    </row>
    <row r="1268" spans="1:8">
      <c r="A1268">
        <v>4419</v>
      </c>
      <c r="C1268">
        <v>0</v>
      </c>
      <c r="D1268">
        <v>1</v>
      </c>
      <c r="E1268">
        <v>0</v>
      </c>
      <c r="F1268">
        <v>0</v>
      </c>
      <c r="G1268">
        <v>0</v>
      </c>
      <c r="H1268">
        <f t="shared" si="19"/>
        <v>1</v>
      </c>
    </row>
    <row r="1269" spans="1:8">
      <c r="A1269">
        <v>4420</v>
      </c>
      <c r="C1269">
        <v>0</v>
      </c>
      <c r="D1269">
        <v>0</v>
      </c>
      <c r="E1269">
        <v>0</v>
      </c>
      <c r="F1269">
        <v>0</v>
      </c>
      <c r="G1269">
        <v>1</v>
      </c>
      <c r="H1269">
        <f t="shared" si="19"/>
        <v>1</v>
      </c>
    </row>
    <row r="1270" spans="1:8">
      <c r="A1270">
        <v>4527</v>
      </c>
      <c r="C1270">
        <v>0</v>
      </c>
      <c r="D1270">
        <v>1</v>
      </c>
      <c r="E1270">
        <v>0</v>
      </c>
      <c r="F1270">
        <v>0</v>
      </c>
      <c r="G1270">
        <v>0</v>
      </c>
      <c r="H1270">
        <f t="shared" si="19"/>
        <v>1</v>
      </c>
    </row>
    <row r="1271" spans="1:8">
      <c r="A1271">
        <v>4533</v>
      </c>
      <c r="C1271">
        <v>0</v>
      </c>
      <c r="D1271">
        <v>1</v>
      </c>
      <c r="E1271">
        <v>0</v>
      </c>
      <c r="F1271">
        <v>0</v>
      </c>
      <c r="G1271">
        <v>0</v>
      </c>
      <c r="H1271">
        <f t="shared" si="19"/>
        <v>1</v>
      </c>
    </row>
    <row r="1272" spans="1:8">
      <c r="A1272">
        <v>4550</v>
      </c>
      <c r="C1272">
        <v>0</v>
      </c>
      <c r="D1272">
        <v>0</v>
      </c>
      <c r="E1272">
        <v>0</v>
      </c>
      <c r="F1272">
        <v>1</v>
      </c>
      <c r="G1272">
        <v>0</v>
      </c>
      <c r="H1272">
        <f t="shared" si="19"/>
        <v>1</v>
      </c>
    </row>
    <row r="1273" spans="1:8">
      <c r="A1273">
        <v>4702</v>
      </c>
      <c r="C1273">
        <v>0</v>
      </c>
      <c r="D1273">
        <v>0</v>
      </c>
      <c r="E1273">
        <v>0</v>
      </c>
      <c r="F1273">
        <v>1</v>
      </c>
      <c r="G1273">
        <v>0</v>
      </c>
      <c r="H1273">
        <f t="shared" si="19"/>
        <v>1</v>
      </c>
    </row>
    <row r="1274" spans="1:8">
      <c r="A1274">
        <v>4739</v>
      </c>
      <c r="C1274">
        <v>0</v>
      </c>
      <c r="D1274">
        <v>0</v>
      </c>
      <c r="E1274">
        <v>0</v>
      </c>
      <c r="F1274">
        <v>1</v>
      </c>
      <c r="G1274">
        <v>0</v>
      </c>
      <c r="H1274">
        <f t="shared" si="19"/>
        <v>1</v>
      </c>
    </row>
    <row r="1275" spans="1:8">
      <c r="A1275">
        <v>4743</v>
      </c>
      <c r="C1275">
        <v>0</v>
      </c>
      <c r="D1275">
        <v>0</v>
      </c>
      <c r="E1275">
        <v>0</v>
      </c>
      <c r="F1275">
        <v>0</v>
      </c>
      <c r="G1275">
        <v>1</v>
      </c>
      <c r="H1275">
        <f t="shared" si="19"/>
        <v>1</v>
      </c>
    </row>
    <row r="1276" spans="1:8">
      <c r="A1276">
        <v>4911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4919</v>
      </c>
      <c r="C1277">
        <v>0</v>
      </c>
      <c r="D1277">
        <v>1</v>
      </c>
      <c r="E1277">
        <v>0</v>
      </c>
      <c r="F1277">
        <v>0</v>
      </c>
      <c r="G1277">
        <v>0</v>
      </c>
      <c r="H1277">
        <f t="shared" si="19"/>
        <v>1</v>
      </c>
    </row>
    <row r="1278" spans="1:8">
      <c r="A1278">
        <v>4938</v>
      </c>
      <c r="C1278">
        <v>0</v>
      </c>
      <c r="D1278">
        <v>0</v>
      </c>
      <c r="E1278">
        <v>1</v>
      </c>
      <c r="F1278">
        <v>0</v>
      </c>
      <c r="G1278">
        <v>0</v>
      </c>
      <c r="H1278">
        <f t="shared" si="19"/>
        <v>1</v>
      </c>
    </row>
    <row r="1279" spans="1:8">
      <c r="A1279">
        <v>4942</v>
      </c>
      <c r="C1279">
        <v>0</v>
      </c>
      <c r="D1279">
        <v>0</v>
      </c>
      <c r="E1279">
        <v>0</v>
      </c>
      <c r="F1279">
        <v>1</v>
      </c>
      <c r="G1279">
        <v>0</v>
      </c>
      <c r="H1279">
        <f t="shared" si="19"/>
        <v>1</v>
      </c>
    </row>
    <row r="1280" spans="1:8">
      <c r="A1280">
        <v>4953</v>
      </c>
      <c r="C1280">
        <v>0</v>
      </c>
      <c r="D1280">
        <v>0</v>
      </c>
      <c r="E1280">
        <v>1</v>
      </c>
      <c r="F1280">
        <v>0</v>
      </c>
      <c r="G1280">
        <v>0</v>
      </c>
      <c r="H1280">
        <f t="shared" si="19"/>
        <v>1</v>
      </c>
    </row>
    <row r="1281" spans="1:8">
      <c r="A1281">
        <v>4971</v>
      </c>
      <c r="C1281">
        <v>0</v>
      </c>
      <c r="D1281">
        <v>0</v>
      </c>
      <c r="E1281">
        <v>0</v>
      </c>
      <c r="F1281">
        <v>1</v>
      </c>
      <c r="G1281">
        <v>0</v>
      </c>
      <c r="H1281">
        <f t="shared" si="19"/>
        <v>1</v>
      </c>
    </row>
    <row r="1282" spans="1:8">
      <c r="A1282">
        <v>5102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f t="shared" ref="H1282:H1345" si="20">SUM(C1282:G1282)</f>
        <v>1</v>
      </c>
    </row>
    <row r="1283" spans="1:8">
      <c r="A1283">
        <v>5213</v>
      </c>
      <c r="C1283">
        <v>0</v>
      </c>
      <c r="D1283">
        <v>1</v>
      </c>
      <c r="E1283">
        <v>0</v>
      </c>
      <c r="F1283">
        <v>0</v>
      </c>
      <c r="G1283">
        <v>0</v>
      </c>
      <c r="H1283">
        <f t="shared" si="20"/>
        <v>1</v>
      </c>
    </row>
    <row r="1284" spans="1:8">
      <c r="A1284">
        <v>5243</v>
      </c>
      <c r="C1284">
        <v>0</v>
      </c>
      <c r="D1284">
        <v>0</v>
      </c>
      <c r="E1284">
        <v>0</v>
      </c>
      <c r="F1284">
        <v>1</v>
      </c>
      <c r="G1284">
        <v>0</v>
      </c>
      <c r="H1284">
        <f t="shared" si="20"/>
        <v>1</v>
      </c>
    </row>
    <row r="1285" spans="1:8">
      <c r="A1285">
        <v>5272</v>
      </c>
      <c r="C1285">
        <v>0</v>
      </c>
      <c r="D1285">
        <v>0</v>
      </c>
      <c r="E1285">
        <v>0</v>
      </c>
      <c r="F1285">
        <v>1</v>
      </c>
      <c r="G1285">
        <v>0</v>
      </c>
      <c r="H1285">
        <f t="shared" si="20"/>
        <v>1</v>
      </c>
    </row>
    <row r="1286" spans="1:8">
      <c r="A1286">
        <v>5291</v>
      </c>
      <c r="C1286">
        <v>0</v>
      </c>
      <c r="D1286">
        <v>1</v>
      </c>
      <c r="E1286">
        <v>0</v>
      </c>
      <c r="F1286">
        <v>0</v>
      </c>
      <c r="G1286">
        <v>0</v>
      </c>
      <c r="H1286">
        <f t="shared" si="20"/>
        <v>1</v>
      </c>
    </row>
    <row r="1287" spans="1:8">
      <c r="A1287">
        <v>5305</v>
      </c>
      <c r="C1287">
        <v>0</v>
      </c>
      <c r="D1287">
        <v>0</v>
      </c>
      <c r="E1287">
        <v>0</v>
      </c>
      <c r="F1287">
        <v>1</v>
      </c>
      <c r="G1287">
        <v>0</v>
      </c>
      <c r="H1287">
        <f t="shared" si="20"/>
        <v>1</v>
      </c>
    </row>
    <row r="1288" spans="1:8">
      <c r="A1288">
        <v>5314</v>
      </c>
      <c r="C1288">
        <v>1</v>
      </c>
      <c r="D1288">
        <v>0</v>
      </c>
      <c r="E1288">
        <v>0</v>
      </c>
      <c r="F1288">
        <v>0</v>
      </c>
      <c r="G1288">
        <v>0</v>
      </c>
      <c r="H1288">
        <f t="shared" si="20"/>
        <v>1</v>
      </c>
    </row>
    <row r="1289" spans="1:8">
      <c r="A1289">
        <v>5324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5340</v>
      </c>
      <c r="C1290">
        <v>0</v>
      </c>
      <c r="D1290">
        <v>1</v>
      </c>
      <c r="E1290">
        <v>0</v>
      </c>
      <c r="F1290">
        <v>0</v>
      </c>
      <c r="G1290">
        <v>0</v>
      </c>
      <c r="H1290">
        <f t="shared" si="20"/>
        <v>1</v>
      </c>
    </row>
    <row r="1291" spans="1:8">
      <c r="A1291">
        <v>5347</v>
      </c>
      <c r="C1291">
        <v>0</v>
      </c>
      <c r="D1291">
        <v>0</v>
      </c>
      <c r="E1291">
        <v>0</v>
      </c>
      <c r="F1291">
        <v>1</v>
      </c>
      <c r="G1291">
        <v>0</v>
      </c>
      <c r="H1291">
        <f t="shared" si="20"/>
        <v>1</v>
      </c>
    </row>
    <row r="1292" spans="1:8">
      <c r="A1292">
        <v>5349</v>
      </c>
      <c r="C1292">
        <v>0</v>
      </c>
      <c r="D1292">
        <v>0</v>
      </c>
      <c r="E1292">
        <v>0</v>
      </c>
      <c r="F1292">
        <v>1</v>
      </c>
      <c r="G1292">
        <v>0</v>
      </c>
      <c r="H1292">
        <f t="shared" si="20"/>
        <v>1</v>
      </c>
    </row>
    <row r="1293" spans="1:8">
      <c r="A1293">
        <v>5356</v>
      </c>
      <c r="C1293">
        <v>0</v>
      </c>
      <c r="D1293">
        <v>1</v>
      </c>
      <c r="E1293">
        <v>0</v>
      </c>
      <c r="F1293">
        <v>0</v>
      </c>
      <c r="G1293">
        <v>0</v>
      </c>
      <c r="H1293">
        <f t="shared" si="20"/>
        <v>1</v>
      </c>
    </row>
    <row r="1294" spans="1:8">
      <c r="A1294">
        <v>5371</v>
      </c>
      <c r="C1294">
        <v>0</v>
      </c>
      <c r="D1294">
        <v>1</v>
      </c>
      <c r="E1294">
        <v>0</v>
      </c>
      <c r="F1294">
        <v>0</v>
      </c>
      <c r="G1294">
        <v>0</v>
      </c>
      <c r="H1294">
        <f t="shared" si="20"/>
        <v>1</v>
      </c>
    </row>
    <row r="1295" spans="1:8">
      <c r="A1295">
        <v>5381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f t="shared" si="20"/>
        <v>1</v>
      </c>
    </row>
    <row r="1296" spans="1:8">
      <c r="A1296">
        <v>5403</v>
      </c>
      <c r="C1296">
        <v>0</v>
      </c>
      <c r="D1296">
        <v>0</v>
      </c>
      <c r="E1296">
        <v>0</v>
      </c>
      <c r="F1296">
        <v>1</v>
      </c>
      <c r="G1296">
        <v>0</v>
      </c>
      <c r="H1296">
        <f t="shared" si="20"/>
        <v>1</v>
      </c>
    </row>
    <row r="1297" spans="1:8">
      <c r="A1297">
        <v>5410</v>
      </c>
      <c r="C1297">
        <v>0</v>
      </c>
      <c r="D1297">
        <v>1</v>
      </c>
      <c r="E1297">
        <v>0</v>
      </c>
      <c r="F1297">
        <v>0</v>
      </c>
      <c r="G1297">
        <v>0</v>
      </c>
      <c r="H1297">
        <f t="shared" si="20"/>
        <v>1</v>
      </c>
    </row>
    <row r="1298" spans="1:8">
      <c r="A1298">
        <v>5452</v>
      </c>
      <c r="C1298">
        <v>0</v>
      </c>
      <c r="D1298">
        <v>1</v>
      </c>
      <c r="E1298">
        <v>0</v>
      </c>
      <c r="F1298">
        <v>0</v>
      </c>
      <c r="G1298">
        <v>0</v>
      </c>
      <c r="H1298">
        <f t="shared" si="20"/>
        <v>1</v>
      </c>
    </row>
    <row r="1299" spans="1:8">
      <c r="A1299">
        <v>5460</v>
      </c>
      <c r="C1299">
        <v>0</v>
      </c>
      <c r="D1299">
        <v>0</v>
      </c>
      <c r="E1299">
        <v>0</v>
      </c>
      <c r="F1299">
        <v>1</v>
      </c>
      <c r="G1299">
        <v>0</v>
      </c>
      <c r="H1299">
        <f t="shared" si="20"/>
        <v>1</v>
      </c>
    </row>
    <row r="1300" spans="1:8">
      <c r="A1300">
        <v>5469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f t="shared" si="20"/>
        <v>1</v>
      </c>
    </row>
    <row r="1301" spans="1:8">
      <c r="A1301">
        <v>5471</v>
      </c>
      <c r="C1301">
        <v>0</v>
      </c>
      <c r="D1301">
        <v>0</v>
      </c>
      <c r="E1301">
        <v>0</v>
      </c>
      <c r="F1301">
        <v>1</v>
      </c>
      <c r="G1301">
        <v>0</v>
      </c>
      <c r="H1301">
        <f t="shared" si="20"/>
        <v>1</v>
      </c>
    </row>
    <row r="1302" spans="1:8">
      <c r="A1302">
        <v>5475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f t="shared" si="20"/>
        <v>1</v>
      </c>
    </row>
    <row r="1303" spans="1:8">
      <c r="A1303">
        <v>5481</v>
      </c>
      <c r="C1303">
        <v>0</v>
      </c>
      <c r="D1303">
        <v>0</v>
      </c>
      <c r="E1303">
        <v>0</v>
      </c>
      <c r="F1303">
        <v>1</v>
      </c>
      <c r="G1303">
        <v>0</v>
      </c>
      <c r="H1303">
        <f t="shared" si="20"/>
        <v>1</v>
      </c>
    </row>
    <row r="1304" spans="1:8">
      <c r="A1304">
        <v>5498</v>
      </c>
      <c r="C1304">
        <v>0</v>
      </c>
      <c r="D1304">
        <v>0</v>
      </c>
      <c r="E1304">
        <v>0</v>
      </c>
      <c r="F1304">
        <v>1</v>
      </c>
      <c r="G1304">
        <v>0</v>
      </c>
      <c r="H1304">
        <f t="shared" si="20"/>
        <v>1</v>
      </c>
    </row>
    <row r="1305" spans="1:8">
      <c r="A1305">
        <v>5508</v>
      </c>
      <c r="C1305">
        <v>0</v>
      </c>
      <c r="D1305">
        <v>0</v>
      </c>
      <c r="E1305">
        <v>1</v>
      </c>
      <c r="F1305">
        <v>0</v>
      </c>
      <c r="G1305">
        <v>0</v>
      </c>
      <c r="H1305">
        <f t="shared" si="20"/>
        <v>1</v>
      </c>
    </row>
    <row r="1306" spans="1:8">
      <c r="A1306">
        <v>5514</v>
      </c>
      <c r="C1306">
        <v>0</v>
      </c>
      <c r="D1306">
        <v>0</v>
      </c>
      <c r="E1306">
        <v>1</v>
      </c>
      <c r="F1306">
        <v>0</v>
      </c>
      <c r="G1306">
        <v>0</v>
      </c>
      <c r="H1306">
        <f t="shared" si="20"/>
        <v>1</v>
      </c>
    </row>
    <row r="1307" spans="1:8">
      <c r="A1307">
        <v>5515</v>
      </c>
      <c r="C1307">
        <v>0</v>
      </c>
      <c r="D1307">
        <v>0</v>
      </c>
      <c r="E1307">
        <v>0</v>
      </c>
      <c r="F1307">
        <v>1</v>
      </c>
      <c r="G1307">
        <v>0</v>
      </c>
      <c r="H1307">
        <f t="shared" si="20"/>
        <v>1</v>
      </c>
    </row>
    <row r="1308" spans="1:8">
      <c r="A1308">
        <v>5516</v>
      </c>
      <c r="C1308">
        <v>0</v>
      </c>
      <c r="D1308">
        <v>0</v>
      </c>
      <c r="E1308">
        <v>0</v>
      </c>
      <c r="F1308">
        <v>1</v>
      </c>
      <c r="G1308">
        <v>0</v>
      </c>
      <c r="H1308">
        <f t="shared" si="20"/>
        <v>1</v>
      </c>
    </row>
    <row r="1309" spans="1:8">
      <c r="A1309">
        <v>5522</v>
      </c>
      <c r="C1309">
        <v>0</v>
      </c>
      <c r="D1309">
        <v>0</v>
      </c>
      <c r="E1309">
        <v>0</v>
      </c>
      <c r="F1309">
        <v>1</v>
      </c>
      <c r="G1309">
        <v>0</v>
      </c>
      <c r="H1309">
        <f t="shared" si="20"/>
        <v>1</v>
      </c>
    </row>
    <row r="1310" spans="1:8">
      <c r="A1310">
        <v>5525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5531</v>
      </c>
      <c r="C1311">
        <v>0</v>
      </c>
      <c r="D1311">
        <v>1</v>
      </c>
      <c r="E1311">
        <v>0</v>
      </c>
      <c r="F1311">
        <v>0</v>
      </c>
      <c r="G1311">
        <v>0</v>
      </c>
      <c r="H1311">
        <f t="shared" si="20"/>
        <v>1</v>
      </c>
    </row>
    <row r="1312" spans="1:8">
      <c r="A1312">
        <v>5533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f t="shared" si="20"/>
        <v>1</v>
      </c>
    </row>
    <row r="1313" spans="1:8">
      <c r="A1313">
        <v>5538</v>
      </c>
      <c r="C1313">
        <v>0</v>
      </c>
      <c r="D1313">
        <v>0</v>
      </c>
      <c r="E1313">
        <v>0</v>
      </c>
      <c r="F1313">
        <v>1</v>
      </c>
      <c r="G1313">
        <v>0</v>
      </c>
      <c r="H1313">
        <f t="shared" si="20"/>
        <v>1</v>
      </c>
    </row>
    <row r="1314" spans="1:8">
      <c r="A1314">
        <v>5604</v>
      </c>
      <c r="C1314">
        <v>0</v>
      </c>
      <c r="D1314">
        <v>0</v>
      </c>
      <c r="E1314">
        <v>0</v>
      </c>
      <c r="F1314">
        <v>1</v>
      </c>
      <c r="G1314">
        <v>0</v>
      </c>
      <c r="H1314">
        <f t="shared" si="20"/>
        <v>1</v>
      </c>
    </row>
    <row r="1315" spans="1:8">
      <c r="A1315">
        <v>5609</v>
      </c>
      <c r="C1315">
        <v>0</v>
      </c>
      <c r="D1315">
        <v>0</v>
      </c>
      <c r="E1315">
        <v>1</v>
      </c>
      <c r="F1315">
        <v>0</v>
      </c>
      <c r="G1315">
        <v>0</v>
      </c>
      <c r="H1315">
        <f t="shared" si="20"/>
        <v>1</v>
      </c>
    </row>
    <row r="1316" spans="1:8">
      <c r="A1316">
        <v>5703</v>
      </c>
      <c r="C1316">
        <v>0</v>
      </c>
      <c r="D1316">
        <v>1</v>
      </c>
      <c r="E1316">
        <v>0</v>
      </c>
      <c r="F1316">
        <v>0</v>
      </c>
      <c r="G1316">
        <v>0</v>
      </c>
      <c r="H1316">
        <f t="shared" si="20"/>
        <v>1</v>
      </c>
    </row>
    <row r="1317" spans="1:8">
      <c r="A1317">
        <v>5704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5878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6107</v>
      </c>
      <c r="C1319">
        <v>0</v>
      </c>
      <c r="D1319">
        <v>1</v>
      </c>
      <c r="E1319">
        <v>0</v>
      </c>
      <c r="F1319">
        <v>0</v>
      </c>
      <c r="G1319">
        <v>0</v>
      </c>
      <c r="H1319">
        <f t="shared" si="20"/>
        <v>1</v>
      </c>
    </row>
    <row r="1320" spans="1:8">
      <c r="A1320">
        <v>6108</v>
      </c>
      <c r="C1320">
        <v>0</v>
      </c>
      <c r="D1320">
        <v>0</v>
      </c>
      <c r="E1320">
        <v>1</v>
      </c>
      <c r="F1320">
        <v>0</v>
      </c>
      <c r="G1320">
        <v>0</v>
      </c>
      <c r="H1320">
        <f t="shared" si="20"/>
        <v>1</v>
      </c>
    </row>
    <row r="1321" spans="1:8">
      <c r="A1321">
        <v>6122</v>
      </c>
      <c r="C1321">
        <v>0</v>
      </c>
      <c r="D1321">
        <v>0</v>
      </c>
      <c r="E1321">
        <v>1</v>
      </c>
      <c r="F1321">
        <v>0</v>
      </c>
      <c r="G1321">
        <v>0</v>
      </c>
      <c r="H1321">
        <f t="shared" si="20"/>
        <v>1</v>
      </c>
    </row>
    <row r="1322" spans="1:8">
      <c r="A1322">
        <v>6127</v>
      </c>
      <c r="C1322">
        <v>0</v>
      </c>
      <c r="D1322">
        <v>1</v>
      </c>
      <c r="E1322">
        <v>0</v>
      </c>
      <c r="F1322">
        <v>0</v>
      </c>
      <c r="G1322">
        <v>0</v>
      </c>
      <c r="H1322">
        <f t="shared" si="20"/>
        <v>1</v>
      </c>
    </row>
    <row r="1323" spans="1:8">
      <c r="A1323">
        <v>6129</v>
      </c>
      <c r="C1323">
        <v>0</v>
      </c>
      <c r="D1323">
        <v>1</v>
      </c>
      <c r="E1323">
        <v>0</v>
      </c>
      <c r="F1323">
        <v>0</v>
      </c>
      <c r="G1323">
        <v>0</v>
      </c>
      <c r="H1323">
        <f t="shared" si="20"/>
        <v>1</v>
      </c>
    </row>
    <row r="1324" spans="1:8">
      <c r="A1324">
        <v>6141</v>
      </c>
      <c r="C1324">
        <v>0</v>
      </c>
      <c r="D1324">
        <v>0</v>
      </c>
      <c r="E1324">
        <v>1</v>
      </c>
      <c r="F1324">
        <v>0</v>
      </c>
      <c r="G1324">
        <v>0</v>
      </c>
      <c r="H1324">
        <f t="shared" si="20"/>
        <v>1</v>
      </c>
    </row>
    <row r="1325" spans="1:8">
      <c r="A1325">
        <v>6163</v>
      </c>
      <c r="C1325">
        <v>0</v>
      </c>
      <c r="D1325">
        <v>0</v>
      </c>
      <c r="E1325">
        <v>0</v>
      </c>
      <c r="F1325">
        <v>1</v>
      </c>
      <c r="G1325">
        <v>0</v>
      </c>
      <c r="H1325">
        <f t="shared" si="20"/>
        <v>1</v>
      </c>
    </row>
    <row r="1326" spans="1:8">
      <c r="A1326">
        <v>6167</v>
      </c>
      <c r="C1326">
        <v>0</v>
      </c>
      <c r="D1326">
        <v>1</v>
      </c>
      <c r="E1326">
        <v>0</v>
      </c>
      <c r="F1326">
        <v>0</v>
      </c>
      <c r="G1326">
        <v>0</v>
      </c>
      <c r="H1326">
        <f t="shared" si="20"/>
        <v>1</v>
      </c>
    </row>
    <row r="1327" spans="1:8">
      <c r="A1327">
        <v>6173</v>
      </c>
      <c r="C1327">
        <v>0</v>
      </c>
      <c r="D1327">
        <v>1</v>
      </c>
      <c r="E1327">
        <v>0</v>
      </c>
      <c r="F1327">
        <v>0</v>
      </c>
      <c r="G1327">
        <v>0</v>
      </c>
      <c r="H1327">
        <f t="shared" si="20"/>
        <v>1</v>
      </c>
    </row>
    <row r="1328" spans="1:8">
      <c r="A1328">
        <v>6175</v>
      </c>
      <c r="C1328">
        <v>0</v>
      </c>
      <c r="D1328">
        <v>1</v>
      </c>
      <c r="E1328">
        <v>0</v>
      </c>
      <c r="F1328">
        <v>0</v>
      </c>
      <c r="G1328">
        <v>0</v>
      </c>
      <c r="H1328">
        <f t="shared" si="20"/>
        <v>1</v>
      </c>
    </row>
    <row r="1329" spans="1:8">
      <c r="A1329">
        <v>6179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f t="shared" si="20"/>
        <v>1</v>
      </c>
    </row>
    <row r="1330" spans="1:8">
      <c r="A1330">
        <v>6183</v>
      </c>
      <c r="C1330">
        <v>0</v>
      </c>
      <c r="D1330">
        <v>1</v>
      </c>
      <c r="E1330">
        <v>0</v>
      </c>
      <c r="F1330">
        <v>0</v>
      </c>
      <c r="G1330">
        <v>0</v>
      </c>
      <c r="H1330">
        <f t="shared" si="20"/>
        <v>1</v>
      </c>
    </row>
    <row r="1331" spans="1:8">
      <c r="A1331">
        <v>6184</v>
      </c>
      <c r="C1331">
        <v>0</v>
      </c>
      <c r="D1331">
        <v>0</v>
      </c>
      <c r="E1331">
        <v>0</v>
      </c>
      <c r="F1331">
        <v>0</v>
      </c>
      <c r="G1331">
        <v>1</v>
      </c>
      <c r="H1331">
        <f t="shared" si="20"/>
        <v>1</v>
      </c>
    </row>
    <row r="1332" spans="1:8">
      <c r="A1332">
        <v>6187</v>
      </c>
      <c r="C1332">
        <v>0</v>
      </c>
      <c r="D1332">
        <v>1</v>
      </c>
      <c r="E1332">
        <v>0</v>
      </c>
      <c r="F1332">
        <v>0</v>
      </c>
      <c r="G1332">
        <v>0</v>
      </c>
      <c r="H1332">
        <f t="shared" si="20"/>
        <v>1</v>
      </c>
    </row>
    <row r="1333" spans="1:8">
      <c r="A1333">
        <v>6214</v>
      </c>
      <c r="C1333">
        <v>0</v>
      </c>
      <c r="D1333">
        <v>0</v>
      </c>
      <c r="E1333">
        <v>0</v>
      </c>
      <c r="F1333">
        <v>1</v>
      </c>
      <c r="G1333">
        <v>0</v>
      </c>
      <c r="H1333">
        <f t="shared" si="20"/>
        <v>1</v>
      </c>
    </row>
    <row r="1334" spans="1:8">
      <c r="A1334">
        <v>6215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f t="shared" si="20"/>
        <v>1</v>
      </c>
    </row>
    <row r="1335" spans="1:8">
      <c r="A1335">
        <v>6223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6234</v>
      </c>
      <c r="C1336">
        <v>0</v>
      </c>
      <c r="D1336">
        <v>0</v>
      </c>
      <c r="E1336">
        <v>0</v>
      </c>
      <c r="F1336">
        <v>0</v>
      </c>
      <c r="G1336">
        <v>1</v>
      </c>
      <c r="H1336">
        <f t="shared" si="20"/>
        <v>1</v>
      </c>
    </row>
    <row r="1337" spans="1:8">
      <c r="A1337">
        <v>6236</v>
      </c>
      <c r="C1337">
        <v>0</v>
      </c>
      <c r="D1337">
        <v>0</v>
      </c>
      <c r="E1337">
        <v>0</v>
      </c>
      <c r="F1337">
        <v>1</v>
      </c>
      <c r="G1337">
        <v>0</v>
      </c>
      <c r="H1337">
        <f t="shared" si="20"/>
        <v>1</v>
      </c>
    </row>
    <row r="1338" spans="1:8">
      <c r="A1338">
        <v>6241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6242</v>
      </c>
      <c r="C1339">
        <v>0</v>
      </c>
      <c r="D1339">
        <v>0</v>
      </c>
      <c r="E1339">
        <v>0</v>
      </c>
      <c r="F1339">
        <v>0</v>
      </c>
      <c r="G1339">
        <v>1</v>
      </c>
      <c r="H1339">
        <f t="shared" si="20"/>
        <v>1</v>
      </c>
    </row>
    <row r="1340" spans="1:8">
      <c r="A1340">
        <v>6259</v>
      </c>
      <c r="C1340">
        <v>0</v>
      </c>
      <c r="D1340">
        <v>1</v>
      </c>
      <c r="E1340">
        <v>0</v>
      </c>
      <c r="F1340">
        <v>0</v>
      </c>
      <c r="G1340">
        <v>0</v>
      </c>
      <c r="H1340">
        <f t="shared" si="20"/>
        <v>1</v>
      </c>
    </row>
    <row r="1341" spans="1:8">
      <c r="A1341">
        <v>6261</v>
      </c>
      <c r="C1341">
        <v>0</v>
      </c>
      <c r="D1341">
        <v>0</v>
      </c>
      <c r="E1341">
        <v>0</v>
      </c>
      <c r="F1341">
        <v>1</v>
      </c>
      <c r="G1341">
        <v>0</v>
      </c>
      <c r="H1341">
        <f t="shared" si="20"/>
        <v>1</v>
      </c>
    </row>
    <row r="1342" spans="1:8">
      <c r="A1342">
        <v>6264</v>
      </c>
      <c r="C1342">
        <v>0</v>
      </c>
      <c r="D1342">
        <v>1</v>
      </c>
      <c r="E1342">
        <v>0</v>
      </c>
      <c r="F1342">
        <v>0</v>
      </c>
      <c r="G1342">
        <v>0</v>
      </c>
      <c r="H1342">
        <f t="shared" si="20"/>
        <v>1</v>
      </c>
    </row>
    <row r="1343" spans="1:8">
      <c r="A1343">
        <v>6275</v>
      </c>
      <c r="C1343">
        <v>0</v>
      </c>
      <c r="D1343">
        <v>1</v>
      </c>
      <c r="E1343">
        <v>0</v>
      </c>
      <c r="F1343">
        <v>0</v>
      </c>
      <c r="G1343">
        <v>0</v>
      </c>
      <c r="H1343">
        <f t="shared" si="20"/>
        <v>1</v>
      </c>
    </row>
    <row r="1344" spans="1:8">
      <c r="A1344">
        <v>6278</v>
      </c>
      <c r="C1344">
        <v>0</v>
      </c>
      <c r="D1344">
        <v>1</v>
      </c>
      <c r="E1344">
        <v>0</v>
      </c>
      <c r="F1344">
        <v>0</v>
      </c>
      <c r="G1344">
        <v>0</v>
      </c>
      <c r="H1344">
        <f t="shared" si="20"/>
        <v>1</v>
      </c>
    </row>
    <row r="1345" spans="1:8">
      <c r="A1345">
        <v>6279</v>
      </c>
      <c r="C1345">
        <v>0</v>
      </c>
      <c r="D1345">
        <v>1</v>
      </c>
      <c r="E1345">
        <v>0</v>
      </c>
      <c r="F1345">
        <v>0</v>
      </c>
      <c r="G1345">
        <v>0</v>
      </c>
      <c r="H1345">
        <f t="shared" si="20"/>
        <v>1</v>
      </c>
    </row>
    <row r="1346" spans="1:8">
      <c r="A1346">
        <v>6290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ref="H1346:H1409" si="21">SUM(C1346:G1346)</f>
        <v>1</v>
      </c>
    </row>
    <row r="1347" spans="1:8">
      <c r="A1347">
        <v>6404</v>
      </c>
      <c r="C1347">
        <v>0</v>
      </c>
      <c r="D1347">
        <v>0</v>
      </c>
      <c r="E1347">
        <v>1</v>
      </c>
      <c r="F1347">
        <v>0</v>
      </c>
      <c r="G1347">
        <v>0</v>
      </c>
      <c r="H1347">
        <f t="shared" si="21"/>
        <v>1</v>
      </c>
    </row>
    <row r="1348" spans="1:8">
      <c r="A1348">
        <v>6412</v>
      </c>
      <c r="C1348">
        <v>0</v>
      </c>
      <c r="D1348">
        <v>0</v>
      </c>
      <c r="E1348">
        <v>0</v>
      </c>
      <c r="F1348">
        <v>1</v>
      </c>
      <c r="G1348">
        <v>0</v>
      </c>
      <c r="H1348">
        <f t="shared" si="21"/>
        <v>1</v>
      </c>
    </row>
    <row r="1349" spans="1:8">
      <c r="A1349">
        <v>6422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f t="shared" si="21"/>
        <v>1</v>
      </c>
    </row>
    <row r="1350" spans="1:8">
      <c r="A1350">
        <v>6431</v>
      </c>
      <c r="C1350">
        <v>0</v>
      </c>
      <c r="D1350">
        <v>1</v>
      </c>
      <c r="E1350">
        <v>0</v>
      </c>
      <c r="F1350">
        <v>0</v>
      </c>
      <c r="G1350">
        <v>0</v>
      </c>
      <c r="H1350">
        <f t="shared" si="21"/>
        <v>1</v>
      </c>
    </row>
    <row r="1351" spans="1:8">
      <c r="A1351">
        <v>6443</v>
      </c>
      <c r="C1351">
        <v>1</v>
      </c>
      <c r="D1351">
        <v>0</v>
      </c>
      <c r="E1351">
        <v>0</v>
      </c>
      <c r="F1351">
        <v>0</v>
      </c>
      <c r="G1351">
        <v>0</v>
      </c>
      <c r="H1351">
        <f t="shared" si="21"/>
        <v>1</v>
      </c>
    </row>
    <row r="1352" spans="1:8">
      <c r="A1352">
        <v>6451</v>
      </c>
      <c r="C1352">
        <v>0</v>
      </c>
      <c r="D1352">
        <v>1</v>
      </c>
      <c r="E1352">
        <v>0</v>
      </c>
      <c r="F1352">
        <v>0</v>
      </c>
      <c r="G1352">
        <v>0</v>
      </c>
      <c r="H1352">
        <f t="shared" si="21"/>
        <v>1</v>
      </c>
    </row>
    <row r="1353" spans="1:8">
      <c r="A1353">
        <v>6506</v>
      </c>
      <c r="C1353">
        <v>0</v>
      </c>
      <c r="D1353">
        <v>1</v>
      </c>
      <c r="E1353">
        <v>0</v>
      </c>
      <c r="F1353">
        <v>0</v>
      </c>
      <c r="G1353">
        <v>0</v>
      </c>
      <c r="H1353">
        <f t="shared" si="21"/>
        <v>1</v>
      </c>
    </row>
    <row r="1354" spans="1:8">
      <c r="A1354">
        <v>6508</v>
      </c>
      <c r="C1354">
        <v>0</v>
      </c>
      <c r="D1354">
        <v>1</v>
      </c>
      <c r="E1354">
        <v>0</v>
      </c>
      <c r="F1354">
        <v>0</v>
      </c>
      <c r="G1354">
        <v>0</v>
      </c>
      <c r="H1354">
        <f t="shared" si="21"/>
        <v>1</v>
      </c>
    </row>
    <row r="1355" spans="1:8">
      <c r="A1355">
        <v>8011</v>
      </c>
      <c r="C1355">
        <v>0</v>
      </c>
      <c r="D1355">
        <v>0</v>
      </c>
      <c r="E1355">
        <v>1</v>
      </c>
      <c r="F1355">
        <v>0</v>
      </c>
      <c r="G1355">
        <v>0</v>
      </c>
      <c r="H1355">
        <f t="shared" si="21"/>
        <v>1</v>
      </c>
    </row>
    <row r="1356" spans="1:8">
      <c r="A1356">
        <v>8024</v>
      </c>
      <c r="C1356">
        <v>0</v>
      </c>
      <c r="D1356">
        <v>0</v>
      </c>
      <c r="E1356">
        <v>0</v>
      </c>
      <c r="F1356">
        <v>1</v>
      </c>
      <c r="G1356">
        <v>0</v>
      </c>
      <c r="H1356">
        <f t="shared" si="21"/>
        <v>1</v>
      </c>
    </row>
    <row r="1357" spans="1:8">
      <c r="A1357">
        <v>8033</v>
      </c>
      <c r="C1357">
        <v>0</v>
      </c>
      <c r="D1357">
        <v>0</v>
      </c>
      <c r="E1357">
        <v>0</v>
      </c>
      <c r="F1357">
        <v>1</v>
      </c>
      <c r="G1357">
        <v>0</v>
      </c>
      <c r="H1357">
        <f t="shared" si="21"/>
        <v>1</v>
      </c>
    </row>
    <row r="1358" spans="1:8">
      <c r="A1358">
        <v>8038</v>
      </c>
      <c r="C1358">
        <v>0</v>
      </c>
      <c r="D1358">
        <v>1</v>
      </c>
      <c r="E1358">
        <v>0</v>
      </c>
      <c r="F1358">
        <v>0</v>
      </c>
      <c r="G1358">
        <v>0</v>
      </c>
      <c r="H1358">
        <f t="shared" si="21"/>
        <v>1</v>
      </c>
    </row>
    <row r="1359" spans="1:8">
      <c r="A1359">
        <v>8040</v>
      </c>
      <c r="C1359">
        <v>0</v>
      </c>
      <c r="D1359">
        <v>1</v>
      </c>
      <c r="E1359">
        <v>0</v>
      </c>
      <c r="F1359">
        <v>0</v>
      </c>
      <c r="G1359">
        <v>0</v>
      </c>
      <c r="H1359">
        <f t="shared" si="21"/>
        <v>1</v>
      </c>
    </row>
    <row r="1360" spans="1:8">
      <c r="A1360">
        <v>8044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f t="shared" si="21"/>
        <v>1</v>
      </c>
    </row>
    <row r="1361" spans="1:8">
      <c r="A1361">
        <v>8054</v>
      </c>
      <c r="C1361">
        <v>0</v>
      </c>
      <c r="D1361">
        <v>0</v>
      </c>
      <c r="E1361">
        <v>0</v>
      </c>
      <c r="F1361">
        <v>1</v>
      </c>
      <c r="G1361">
        <v>0</v>
      </c>
      <c r="H1361">
        <f t="shared" si="21"/>
        <v>1</v>
      </c>
    </row>
    <row r="1362" spans="1:8">
      <c r="A1362">
        <v>8059</v>
      </c>
      <c r="C1362">
        <v>0</v>
      </c>
      <c r="D1362">
        <v>1</v>
      </c>
      <c r="E1362">
        <v>0</v>
      </c>
      <c r="F1362">
        <v>0</v>
      </c>
      <c r="G1362">
        <v>0</v>
      </c>
      <c r="H1362">
        <f t="shared" si="21"/>
        <v>1</v>
      </c>
    </row>
    <row r="1363" spans="1:8">
      <c r="A1363">
        <v>8064</v>
      </c>
      <c r="C1363">
        <v>0</v>
      </c>
      <c r="D1363">
        <v>1</v>
      </c>
      <c r="E1363">
        <v>0</v>
      </c>
      <c r="F1363">
        <v>0</v>
      </c>
      <c r="G1363">
        <v>0</v>
      </c>
      <c r="H1363">
        <f t="shared" si="21"/>
        <v>1</v>
      </c>
    </row>
    <row r="1364" spans="1:8">
      <c r="A1364">
        <v>8068</v>
      </c>
      <c r="C1364">
        <v>0</v>
      </c>
      <c r="D1364">
        <v>0</v>
      </c>
      <c r="E1364">
        <v>1</v>
      </c>
      <c r="F1364">
        <v>0</v>
      </c>
      <c r="G1364">
        <v>0</v>
      </c>
      <c r="H1364">
        <f t="shared" si="21"/>
        <v>1</v>
      </c>
    </row>
    <row r="1365" spans="1:8">
      <c r="A1365">
        <v>8070</v>
      </c>
      <c r="C1365">
        <v>0</v>
      </c>
      <c r="D1365">
        <v>0</v>
      </c>
      <c r="E1365">
        <v>0</v>
      </c>
      <c r="F1365">
        <v>1</v>
      </c>
      <c r="G1365">
        <v>0</v>
      </c>
      <c r="H1365">
        <f t="shared" si="21"/>
        <v>1</v>
      </c>
    </row>
    <row r="1366" spans="1:8">
      <c r="A1366">
        <v>8071</v>
      </c>
      <c r="C1366">
        <v>0</v>
      </c>
      <c r="D1366">
        <v>0</v>
      </c>
      <c r="E1366">
        <v>0</v>
      </c>
      <c r="F1366">
        <v>0</v>
      </c>
      <c r="G1366">
        <v>1</v>
      </c>
      <c r="H1366">
        <f t="shared" si="21"/>
        <v>1</v>
      </c>
    </row>
    <row r="1367" spans="1:8">
      <c r="A1367">
        <v>8080</v>
      </c>
      <c r="C1367">
        <v>0</v>
      </c>
      <c r="D1367">
        <v>0</v>
      </c>
      <c r="E1367">
        <v>1</v>
      </c>
      <c r="F1367">
        <v>0</v>
      </c>
      <c r="G1367">
        <v>0</v>
      </c>
      <c r="H1367">
        <f t="shared" si="21"/>
        <v>1</v>
      </c>
    </row>
    <row r="1368" spans="1:8">
      <c r="A1368">
        <v>8082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8084</v>
      </c>
      <c r="C1369">
        <v>0</v>
      </c>
      <c r="D1369">
        <v>0</v>
      </c>
      <c r="E1369">
        <v>0</v>
      </c>
      <c r="F1369">
        <v>1</v>
      </c>
      <c r="G1369">
        <v>0</v>
      </c>
      <c r="H1369">
        <f t="shared" si="21"/>
        <v>1</v>
      </c>
    </row>
    <row r="1370" spans="1:8">
      <c r="A1370">
        <v>8091</v>
      </c>
      <c r="C1370">
        <v>0</v>
      </c>
      <c r="D1370">
        <v>0</v>
      </c>
      <c r="E1370">
        <v>1</v>
      </c>
      <c r="F1370">
        <v>0</v>
      </c>
      <c r="G1370">
        <v>0</v>
      </c>
      <c r="H1370">
        <f t="shared" si="21"/>
        <v>1</v>
      </c>
    </row>
    <row r="1371" spans="1:8">
      <c r="A1371">
        <v>8099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f t="shared" si="21"/>
        <v>1</v>
      </c>
    </row>
    <row r="1372" spans="1:8">
      <c r="A1372">
        <v>8103</v>
      </c>
      <c r="C1372">
        <v>0</v>
      </c>
      <c r="D1372">
        <v>0</v>
      </c>
      <c r="E1372">
        <v>0</v>
      </c>
      <c r="F1372">
        <v>1</v>
      </c>
      <c r="G1372">
        <v>0</v>
      </c>
      <c r="H1372">
        <f t="shared" si="21"/>
        <v>1</v>
      </c>
    </row>
    <row r="1373" spans="1:8">
      <c r="A1373">
        <v>8121</v>
      </c>
      <c r="C1373">
        <v>0</v>
      </c>
      <c r="D1373">
        <v>0</v>
      </c>
      <c r="E1373">
        <v>0</v>
      </c>
      <c r="F1373">
        <v>1</v>
      </c>
      <c r="G1373">
        <v>0</v>
      </c>
      <c r="H1373">
        <f t="shared" si="21"/>
        <v>1</v>
      </c>
    </row>
    <row r="1374" spans="1:8">
      <c r="A1374">
        <v>8349</v>
      </c>
      <c r="C1374">
        <v>0</v>
      </c>
      <c r="D1374">
        <v>1</v>
      </c>
      <c r="E1374">
        <v>0</v>
      </c>
      <c r="F1374">
        <v>0</v>
      </c>
      <c r="G1374">
        <v>0</v>
      </c>
      <c r="H1374">
        <f t="shared" si="21"/>
        <v>1</v>
      </c>
    </row>
    <row r="1375" spans="1:8">
      <c r="A1375">
        <v>8401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8403</v>
      </c>
      <c r="C1376">
        <v>0</v>
      </c>
      <c r="D1376">
        <v>1</v>
      </c>
      <c r="E1376">
        <v>0</v>
      </c>
      <c r="F1376">
        <v>0</v>
      </c>
      <c r="G1376">
        <v>0</v>
      </c>
      <c r="H1376">
        <f t="shared" si="21"/>
        <v>1</v>
      </c>
    </row>
    <row r="1377" spans="1:8">
      <c r="A1377">
        <v>8406</v>
      </c>
      <c r="C1377">
        <v>0</v>
      </c>
      <c r="D1377">
        <v>0</v>
      </c>
      <c r="E1377">
        <v>0</v>
      </c>
      <c r="F1377">
        <v>1</v>
      </c>
      <c r="G1377">
        <v>0</v>
      </c>
      <c r="H1377">
        <f t="shared" si="21"/>
        <v>1</v>
      </c>
    </row>
    <row r="1378" spans="1:8">
      <c r="A1378">
        <v>8416</v>
      </c>
      <c r="C1378">
        <v>0</v>
      </c>
      <c r="D1378">
        <v>0</v>
      </c>
      <c r="E1378">
        <v>0</v>
      </c>
      <c r="F1378">
        <v>1</v>
      </c>
      <c r="G1378">
        <v>0</v>
      </c>
      <c r="H1378">
        <f t="shared" si="21"/>
        <v>1</v>
      </c>
    </row>
    <row r="1379" spans="1:8">
      <c r="A1379">
        <v>8418</v>
      </c>
      <c r="C1379">
        <v>0</v>
      </c>
      <c r="D1379">
        <v>0</v>
      </c>
      <c r="E1379">
        <v>0</v>
      </c>
      <c r="F1379">
        <v>1</v>
      </c>
      <c r="G1379">
        <v>0</v>
      </c>
      <c r="H1379">
        <f t="shared" si="21"/>
        <v>1</v>
      </c>
    </row>
    <row r="1380" spans="1:8">
      <c r="A1380">
        <v>8424</v>
      </c>
      <c r="C1380">
        <v>0</v>
      </c>
      <c r="D1380">
        <v>1</v>
      </c>
      <c r="E1380">
        <v>0</v>
      </c>
      <c r="F1380">
        <v>0</v>
      </c>
      <c r="G1380">
        <v>0</v>
      </c>
      <c r="H1380">
        <f t="shared" si="21"/>
        <v>1</v>
      </c>
    </row>
    <row r="1381" spans="1:8">
      <c r="A1381">
        <v>8427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f t="shared" si="21"/>
        <v>1</v>
      </c>
    </row>
    <row r="1382" spans="1:8">
      <c r="A1382">
        <v>8429</v>
      </c>
      <c r="C1382">
        <v>0</v>
      </c>
      <c r="D1382">
        <v>0</v>
      </c>
      <c r="E1382">
        <v>0</v>
      </c>
      <c r="F1382">
        <v>1</v>
      </c>
      <c r="G1382">
        <v>0</v>
      </c>
      <c r="H1382">
        <f t="shared" si="21"/>
        <v>1</v>
      </c>
    </row>
    <row r="1383" spans="1:8">
      <c r="A1383">
        <v>8431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8432</v>
      </c>
      <c r="C1384">
        <v>0</v>
      </c>
      <c r="D1384">
        <v>1</v>
      </c>
      <c r="E1384">
        <v>0</v>
      </c>
      <c r="F1384">
        <v>0</v>
      </c>
      <c r="G1384">
        <v>0</v>
      </c>
      <c r="H1384">
        <f t="shared" si="21"/>
        <v>1</v>
      </c>
    </row>
    <row r="1385" spans="1:8">
      <c r="A1385">
        <v>8443</v>
      </c>
      <c r="C1385">
        <v>0</v>
      </c>
      <c r="D1385">
        <v>0</v>
      </c>
      <c r="E1385">
        <v>0</v>
      </c>
      <c r="F1385">
        <v>1</v>
      </c>
      <c r="G1385">
        <v>0</v>
      </c>
      <c r="H1385">
        <f t="shared" si="21"/>
        <v>1</v>
      </c>
    </row>
    <row r="1386" spans="1:8">
      <c r="A1386">
        <v>8463</v>
      </c>
      <c r="C1386">
        <v>0</v>
      </c>
      <c r="D1386">
        <v>0</v>
      </c>
      <c r="E1386">
        <v>0</v>
      </c>
      <c r="F1386">
        <v>1</v>
      </c>
      <c r="G1386">
        <v>0</v>
      </c>
      <c r="H1386">
        <f t="shared" si="21"/>
        <v>1</v>
      </c>
    </row>
    <row r="1387" spans="1:8">
      <c r="A1387">
        <v>8905</v>
      </c>
      <c r="C1387">
        <v>0</v>
      </c>
      <c r="D1387">
        <v>1</v>
      </c>
      <c r="E1387">
        <v>0</v>
      </c>
      <c r="F1387">
        <v>0</v>
      </c>
      <c r="G1387">
        <v>0</v>
      </c>
      <c r="H1387">
        <f t="shared" si="21"/>
        <v>1</v>
      </c>
    </row>
    <row r="1388" spans="1:8">
      <c r="A1388">
        <v>8923</v>
      </c>
      <c r="C1388">
        <v>0</v>
      </c>
      <c r="D1388">
        <v>1</v>
      </c>
      <c r="E1388">
        <v>0</v>
      </c>
      <c r="F1388">
        <v>0</v>
      </c>
      <c r="G1388">
        <v>0</v>
      </c>
      <c r="H1388">
        <f t="shared" si="21"/>
        <v>1</v>
      </c>
    </row>
    <row r="1389" spans="1:8">
      <c r="A1389">
        <v>8924</v>
      </c>
      <c r="C1389">
        <v>0</v>
      </c>
      <c r="D1389">
        <v>1</v>
      </c>
      <c r="E1389">
        <v>0</v>
      </c>
      <c r="F1389">
        <v>0</v>
      </c>
      <c r="G1389">
        <v>0</v>
      </c>
      <c r="H1389">
        <f t="shared" si="21"/>
        <v>1</v>
      </c>
    </row>
    <row r="1390" spans="1:8">
      <c r="A1390">
        <v>8929</v>
      </c>
      <c r="C1390">
        <v>0</v>
      </c>
      <c r="D1390">
        <v>1</v>
      </c>
      <c r="E1390">
        <v>0</v>
      </c>
      <c r="F1390">
        <v>0</v>
      </c>
      <c r="G1390">
        <v>0</v>
      </c>
      <c r="H1390">
        <f t="shared" si="21"/>
        <v>1</v>
      </c>
    </row>
    <row r="1391" spans="1:8">
      <c r="A1391">
        <v>8930</v>
      </c>
      <c r="C1391">
        <v>0</v>
      </c>
      <c r="D1391">
        <v>0</v>
      </c>
      <c r="E1391">
        <v>0</v>
      </c>
      <c r="F1391">
        <v>1</v>
      </c>
      <c r="G1391">
        <v>0</v>
      </c>
      <c r="H1391">
        <f t="shared" si="21"/>
        <v>1</v>
      </c>
    </row>
    <row r="1392" spans="1:8">
      <c r="A1392">
        <v>8936</v>
      </c>
      <c r="C1392">
        <v>0</v>
      </c>
      <c r="D1392">
        <v>1</v>
      </c>
      <c r="E1392">
        <v>0</v>
      </c>
      <c r="F1392">
        <v>0</v>
      </c>
      <c r="G1392">
        <v>0</v>
      </c>
      <c r="H1392">
        <f t="shared" si="21"/>
        <v>1</v>
      </c>
    </row>
    <row r="1393" spans="1:8">
      <c r="A1393">
        <v>8940</v>
      </c>
      <c r="C1393">
        <v>0</v>
      </c>
      <c r="D1393">
        <v>0</v>
      </c>
      <c r="E1393">
        <v>0</v>
      </c>
      <c r="F1393">
        <v>1</v>
      </c>
      <c r="G1393">
        <v>0</v>
      </c>
      <c r="H1393">
        <f t="shared" si="21"/>
        <v>1</v>
      </c>
    </row>
    <row r="1394" spans="1:8">
      <c r="A1394">
        <v>8941</v>
      </c>
      <c r="C1394">
        <v>0</v>
      </c>
      <c r="D1394">
        <v>1</v>
      </c>
      <c r="E1394">
        <v>0</v>
      </c>
      <c r="F1394">
        <v>0</v>
      </c>
      <c r="G1394">
        <v>0</v>
      </c>
      <c r="H1394">
        <f t="shared" si="21"/>
        <v>1</v>
      </c>
    </row>
    <row r="1395" spans="1:8">
      <c r="A1395">
        <v>8996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f t="shared" si="21"/>
        <v>1</v>
      </c>
    </row>
    <row r="1396" spans="1:8">
      <c r="A1396">
        <v>9919</v>
      </c>
      <c r="C1396">
        <v>0</v>
      </c>
      <c r="D1396">
        <v>0</v>
      </c>
      <c r="E1396">
        <v>0</v>
      </c>
      <c r="F1396">
        <v>1</v>
      </c>
      <c r="G1396">
        <v>0</v>
      </c>
      <c r="H1396">
        <f t="shared" si="21"/>
        <v>1</v>
      </c>
    </row>
    <row r="1397" spans="1:8">
      <c r="A1397">
        <v>9933</v>
      </c>
      <c r="C1397">
        <v>0</v>
      </c>
      <c r="D1397">
        <v>0</v>
      </c>
      <c r="E1397">
        <v>1</v>
      </c>
      <c r="F1397">
        <v>0</v>
      </c>
      <c r="G1397">
        <v>0</v>
      </c>
      <c r="H1397">
        <f t="shared" si="21"/>
        <v>1</v>
      </c>
    </row>
    <row r="1398" spans="1:8">
      <c r="A1398">
        <v>9939</v>
      </c>
      <c r="C1398">
        <v>0</v>
      </c>
      <c r="D1398">
        <v>0</v>
      </c>
      <c r="E1398">
        <v>0</v>
      </c>
      <c r="F1398">
        <v>1</v>
      </c>
      <c r="G1398">
        <v>0</v>
      </c>
      <c r="H1398">
        <f t="shared" si="21"/>
        <v>1</v>
      </c>
    </row>
    <row r="1399" spans="1:8">
      <c r="A1399">
        <v>9949</v>
      </c>
      <c r="C1399">
        <v>0</v>
      </c>
      <c r="D1399">
        <v>0</v>
      </c>
      <c r="E1399">
        <v>0</v>
      </c>
      <c r="F1399">
        <v>1</v>
      </c>
      <c r="G1399">
        <v>0</v>
      </c>
      <c r="H1399">
        <f t="shared" si="21"/>
        <v>1</v>
      </c>
    </row>
    <row r="1400" spans="1:8">
      <c r="A1400">
        <v>1201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f t="shared" si="21"/>
        <v>0</v>
      </c>
    </row>
    <row r="1401" spans="1:8">
      <c r="A1401">
        <v>1309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f t="shared" si="21"/>
        <v>0</v>
      </c>
    </row>
    <row r="1402" spans="1:8">
      <c r="A1402">
        <v>1313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f t="shared" si="21"/>
        <v>0</v>
      </c>
    </row>
    <row r="1403" spans="1:8">
      <c r="A1403">
        <v>1416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f t="shared" si="21"/>
        <v>0</v>
      </c>
    </row>
    <row r="1404" spans="1:8">
      <c r="A1404">
        <v>1439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f t="shared" si="21"/>
        <v>0</v>
      </c>
    </row>
    <row r="1405" spans="1:8">
      <c r="A1405">
        <v>1442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f t="shared" si="21"/>
        <v>0</v>
      </c>
    </row>
    <row r="1406" spans="1:8">
      <c r="A1406">
        <v>1453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f t="shared" si="21"/>
        <v>0</v>
      </c>
    </row>
    <row r="1407" spans="1:8">
      <c r="A1407">
        <v>1455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f t="shared" si="21"/>
        <v>0</v>
      </c>
    </row>
    <row r="1408" spans="1:8">
      <c r="A1408">
        <v>1472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1519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f t="shared" si="21"/>
        <v>0</v>
      </c>
    </row>
    <row r="1410" spans="1:8">
      <c r="A1410">
        <v>1529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f t="shared" ref="H1410:H1473" si="22">SUM(C1410:G1410)</f>
        <v>0</v>
      </c>
    </row>
    <row r="1411" spans="1:8">
      <c r="A1411">
        <v>1586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f t="shared" si="22"/>
        <v>0</v>
      </c>
    </row>
    <row r="1412" spans="1:8">
      <c r="A1412">
        <v>1609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f t="shared" si="22"/>
        <v>0</v>
      </c>
    </row>
    <row r="1413" spans="1:8">
      <c r="A1413">
        <v>1626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f t="shared" si="22"/>
        <v>0</v>
      </c>
    </row>
    <row r="1414" spans="1:8">
      <c r="A1414">
        <v>1710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1742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f t="shared" si="22"/>
        <v>0</v>
      </c>
    </row>
    <row r="1416" spans="1:8">
      <c r="A1416">
        <v>1784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2010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f t="shared" si="22"/>
        <v>0</v>
      </c>
    </row>
    <row r="1418" spans="1:8">
      <c r="A1418">
        <v>2013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f t="shared" si="22"/>
        <v>0</v>
      </c>
    </row>
    <row r="1419" spans="1:8">
      <c r="A1419">
        <v>2020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f t="shared" si="22"/>
        <v>0</v>
      </c>
    </row>
    <row r="1420" spans="1:8">
      <c r="A1420">
        <v>2023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f t="shared" si="22"/>
        <v>0</v>
      </c>
    </row>
    <row r="1421" spans="1:8">
      <c r="A1421">
        <v>2031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f t="shared" si="22"/>
        <v>0</v>
      </c>
    </row>
    <row r="1422" spans="1:8">
      <c r="A1422">
        <v>2061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f t="shared" si="22"/>
        <v>0</v>
      </c>
    </row>
    <row r="1423" spans="1:8">
      <c r="A1423">
        <v>2103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f t="shared" si="22"/>
        <v>0</v>
      </c>
    </row>
    <row r="1424" spans="1:8">
      <c r="A1424">
        <v>2227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f t="shared" si="22"/>
        <v>0</v>
      </c>
    </row>
    <row r="1425" spans="1:8">
      <c r="A1425">
        <v>2323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f t="shared" si="22"/>
        <v>0</v>
      </c>
    </row>
    <row r="1426" spans="1:8">
      <c r="A1426">
        <v>2347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f t="shared" si="22"/>
        <v>0</v>
      </c>
    </row>
    <row r="1427" spans="1:8">
      <c r="A1427">
        <v>2349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f t="shared" si="22"/>
        <v>0</v>
      </c>
    </row>
    <row r="1428" spans="1:8">
      <c r="A1428">
        <v>2354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f t="shared" si="22"/>
        <v>0</v>
      </c>
    </row>
    <row r="1429" spans="1:8">
      <c r="A1429">
        <v>2357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f t="shared" si="22"/>
        <v>0</v>
      </c>
    </row>
    <row r="1430" spans="1:8">
      <c r="A1430">
        <v>2401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f t="shared" si="22"/>
        <v>0</v>
      </c>
    </row>
    <row r="1431" spans="1:8">
      <c r="A1431">
        <v>2424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f t="shared" si="22"/>
        <v>0</v>
      </c>
    </row>
    <row r="1432" spans="1:8">
      <c r="A1432">
        <v>2440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f t="shared" si="22"/>
        <v>0</v>
      </c>
    </row>
    <row r="1433" spans="1:8">
      <c r="A1433">
        <v>2467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f t="shared" si="22"/>
        <v>0</v>
      </c>
    </row>
    <row r="1434" spans="1:8">
      <c r="A1434">
        <v>2501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f t="shared" si="22"/>
        <v>0</v>
      </c>
    </row>
    <row r="1435" spans="1:8">
      <c r="A1435">
        <v>2504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f t="shared" si="22"/>
        <v>0</v>
      </c>
    </row>
    <row r="1436" spans="1:8">
      <c r="A1436">
        <v>2505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f t="shared" si="22"/>
        <v>0</v>
      </c>
    </row>
    <row r="1437" spans="1:8">
      <c r="A1437">
        <v>2511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f t="shared" si="22"/>
        <v>0</v>
      </c>
    </row>
    <row r="1438" spans="1:8">
      <c r="A1438">
        <v>2515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f t="shared" si="22"/>
        <v>0</v>
      </c>
    </row>
    <row r="1439" spans="1:8">
      <c r="A1439">
        <v>2528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f t="shared" si="22"/>
        <v>0</v>
      </c>
    </row>
    <row r="1440" spans="1:8">
      <c r="A1440">
        <v>2539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f t="shared" si="22"/>
        <v>0</v>
      </c>
    </row>
    <row r="1441" spans="1:8">
      <c r="A1441">
        <v>2545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f t="shared" si="22"/>
        <v>0</v>
      </c>
    </row>
    <row r="1442" spans="1:8">
      <c r="A1442">
        <v>2547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f t="shared" si="22"/>
        <v>0</v>
      </c>
    </row>
    <row r="1443" spans="1:8">
      <c r="A1443">
        <v>2601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f t="shared" si="22"/>
        <v>0</v>
      </c>
    </row>
    <row r="1444" spans="1:8">
      <c r="A1444">
        <v>2613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f t="shared" si="22"/>
        <v>0</v>
      </c>
    </row>
    <row r="1445" spans="1:8">
      <c r="A1445">
        <v>2640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f t="shared" si="22"/>
        <v>0</v>
      </c>
    </row>
    <row r="1446" spans="1:8">
      <c r="A1446">
        <v>2719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f t="shared" si="22"/>
        <v>0</v>
      </c>
    </row>
    <row r="1447" spans="1:8">
      <c r="A1447">
        <v>3018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f t="shared" si="22"/>
        <v>0</v>
      </c>
    </row>
    <row r="1448" spans="1:8">
      <c r="A1448">
        <v>3024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f t="shared" si="22"/>
        <v>0</v>
      </c>
    </row>
    <row r="1449" spans="1:8">
      <c r="A1449">
        <v>3025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f t="shared" si="22"/>
        <v>0</v>
      </c>
    </row>
    <row r="1450" spans="1:8">
      <c r="A1450">
        <v>3026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f t="shared" si="22"/>
        <v>0</v>
      </c>
    </row>
    <row r="1451" spans="1:8">
      <c r="A1451">
        <v>3055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f t="shared" si="22"/>
        <v>0</v>
      </c>
    </row>
    <row r="1452" spans="1:8">
      <c r="A1452">
        <v>3056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f t="shared" si="22"/>
        <v>0</v>
      </c>
    </row>
    <row r="1453" spans="1:8">
      <c r="A1453">
        <v>3067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f t="shared" si="22"/>
        <v>0</v>
      </c>
    </row>
    <row r="1454" spans="1:8">
      <c r="A1454">
        <v>3071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f t="shared" si="22"/>
        <v>0</v>
      </c>
    </row>
    <row r="1455" spans="1:8">
      <c r="A1455">
        <v>3206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f t="shared" si="22"/>
        <v>0</v>
      </c>
    </row>
    <row r="1456" spans="1:8">
      <c r="A1456">
        <v>3228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f t="shared" si="22"/>
        <v>0</v>
      </c>
    </row>
    <row r="1457" spans="1:8">
      <c r="A1457">
        <v>3229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f t="shared" si="22"/>
        <v>0</v>
      </c>
    </row>
    <row r="1458" spans="1:8">
      <c r="A1458">
        <v>3230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f t="shared" si="22"/>
        <v>0</v>
      </c>
    </row>
    <row r="1459" spans="1:8">
      <c r="A1459">
        <v>3374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f t="shared" si="22"/>
        <v>0</v>
      </c>
    </row>
    <row r="1460" spans="1:8">
      <c r="A1460">
        <v>3380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f t="shared" si="22"/>
        <v>0</v>
      </c>
    </row>
    <row r="1461" spans="1:8">
      <c r="A1461">
        <v>3431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f t="shared" si="22"/>
        <v>0</v>
      </c>
    </row>
    <row r="1462" spans="1:8">
      <c r="A1462">
        <v>3438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f t="shared" si="22"/>
        <v>0</v>
      </c>
    </row>
    <row r="1463" spans="1:8">
      <c r="A1463">
        <v>3465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f t="shared" si="22"/>
        <v>0</v>
      </c>
    </row>
    <row r="1464" spans="1:8">
      <c r="A1464">
        <v>3494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f t="shared" si="22"/>
        <v>0</v>
      </c>
    </row>
    <row r="1465" spans="1:8">
      <c r="A1465">
        <v>3553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f t="shared" si="22"/>
        <v>0</v>
      </c>
    </row>
    <row r="1466" spans="1:8">
      <c r="A1466">
        <v>3562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f t="shared" si="22"/>
        <v>0</v>
      </c>
    </row>
    <row r="1467" spans="1:8">
      <c r="A1467">
        <v>3584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f t="shared" si="22"/>
        <v>0</v>
      </c>
    </row>
    <row r="1468" spans="1:8">
      <c r="A1468">
        <v>3594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f t="shared" si="22"/>
        <v>0</v>
      </c>
    </row>
    <row r="1469" spans="1:8">
      <c r="A1469">
        <v>3628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f t="shared" si="22"/>
        <v>0</v>
      </c>
    </row>
    <row r="1470" spans="1:8">
      <c r="A1470">
        <v>3682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f t="shared" si="22"/>
        <v>0</v>
      </c>
    </row>
    <row r="1471" spans="1:8">
      <c r="A1471">
        <v>3703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f t="shared" si="22"/>
        <v>0</v>
      </c>
    </row>
    <row r="1472" spans="1:8">
      <c r="A1472">
        <v>4127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f t="shared" si="22"/>
        <v>0</v>
      </c>
    </row>
    <row r="1473" spans="1:8">
      <c r="A1473">
        <v>4304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f t="shared" si="22"/>
        <v>0</v>
      </c>
    </row>
    <row r="1474" spans="1:8">
      <c r="A1474">
        <v>4306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f t="shared" ref="H1474:H1513" si="23">SUM(C1474:G1474)</f>
        <v>0</v>
      </c>
    </row>
    <row r="1475" spans="1:8">
      <c r="A1475">
        <v>4416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f t="shared" si="23"/>
        <v>0</v>
      </c>
    </row>
    <row r="1476" spans="1:8">
      <c r="A1476">
        <v>4557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4725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f t="shared" si="23"/>
        <v>0</v>
      </c>
    </row>
    <row r="1478" spans="1:8">
      <c r="A1478">
        <v>4745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f t="shared" si="23"/>
        <v>0</v>
      </c>
    </row>
    <row r="1479" spans="1:8">
      <c r="A1479">
        <v>4924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f t="shared" si="23"/>
        <v>0</v>
      </c>
    </row>
    <row r="1480" spans="1:8">
      <c r="A1480">
        <v>5205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f t="shared" si="23"/>
        <v>0</v>
      </c>
    </row>
    <row r="1481" spans="1:8">
      <c r="A1481">
        <v>5259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f t="shared" si="23"/>
        <v>0</v>
      </c>
    </row>
    <row r="1482" spans="1:8">
      <c r="A1482">
        <v>5301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f t="shared" si="23"/>
        <v>0</v>
      </c>
    </row>
    <row r="1483" spans="1:8">
      <c r="A1483">
        <v>5351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f t="shared" si="23"/>
        <v>0</v>
      </c>
    </row>
    <row r="1484" spans="1:8">
      <c r="A1484">
        <v>5383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f t="shared" si="23"/>
        <v>0</v>
      </c>
    </row>
    <row r="1485" spans="1:8">
      <c r="A1485">
        <v>5384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f t="shared" si="23"/>
        <v>0</v>
      </c>
    </row>
    <row r="1486" spans="1:8">
      <c r="A1486">
        <v>5455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f t="shared" si="23"/>
        <v>0</v>
      </c>
    </row>
    <row r="1487" spans="1:8">
      <c r="A1487">
        <v>5457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f t="shared" si="23"/>
        <v>0</v>
      </c>
    </row>
    <row r="1488" spans="1:8">
      <c r="A1488">
        <v>5506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f t="shared" si="23"/>
        <v>0</v>
      </c>
    </row>
    <row r="1489" spans="1:8">
      <c r="A1489">
        <v>5511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f t="shared" si="23"/>
        <v>0</v>
      </c>
    </row>
    <row r="1490" spans="1:8">
      <c r="A1490">
        <v>5512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f t="shared" si="23"/>
        <v>0</v>
      </c>
    </row>
    <row r="1491" spans="1:8">
      <c r="A1491">
        <v>5521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f t="shared" si="23"/>
        <v>0</v>
      </c>
    </row>
    <row r="1492" spans="1:8">
      <c r="A1492">
        <v>5523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f t="shared" si="23"/>
        <v>0</v>
      </c>
    </row>
    <row r="1493" spans="1:8">
      <c r="A1493">
        <v>5529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f t="shared" si="23"/>
        <v>0</v>
      </c>
    </row>
    <row r="1494" spans="1:8">
      <c r="A1494">
        <v>5907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f t="shared" si="23"/>
        <v>0</v>
      </c>
    </row>
    <row r="1495" spans="1:8">
      <c r="A1495">
        <v>6101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f t="shared" si="23"/>
        <v>0</v>
      </c>
    </row>
    <row r="1496" spans="1:8">
      <c r="A1496">
        <v>6120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f t="shared" si="23"/>
        <v>0</v>
      </c>
    </row>
    <row r="1497" spans="1:8">
      <c r="A1497">
        <v>6177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f t="shared" si="23"/>
        <v>0</v>
      </c>
    </row>
    <row r="1498" spans="1:8">
      <c r="A1498">
        <v>6188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f t="shared" si="23"/>
        <v>0</v>
      </c>
    </row>
    <row r="1499" spans="1:8">
      <c r="A1499">
        <v>6191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f t="shared" si="23"/>
        <v>0</v>
      </c>
    </row>
    <row r="1500" spans="1:8">
      <c r="A1500">
        <v>6195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f t="shared" si="23"/>
        <v>0</v>
      </c>
    </row>
    <row r="1501" spans="1:8">
      <c r="A1501">
        <v>6209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f t="shared" si="23"/>
        <v>0</v>
      </c>
    </row>
    <row r="1502" spans="1:8">
      <c r="A1502">
        <v>6222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6250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f t="shared" si="23"/>
        <v>0</v>
      </c>
    </row>
    <row r="1504" spans="1:8">
      <c r="A1504">
        <v>6281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f t="shared" si="23"/>
        <v>0</v>
      </c>
    </row>
    <row r="1505" spans="1:8">
      <c r="A1505">
        <v>6291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f t="shared" si="23"/>
        <v>0</v>
      </c>
    </row>
    <row r="1506" spans="1:8">
      <c r="A1506">
        <v>6419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f t="shared" si="23"/>
        <v>0</v>
      </c>
    </row>
    <row r="1507" spans="1:8">
      <c r="A1507">
        <v>8047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f t="shared" si="23"/>
        <v>0</v>
      </c>
    </row>
    <row r="1508" spans="1:8">
      <c r="A1508">
        <v>8291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f t="shared" si="23"/>
        <v>0</v>
      </c>
    </row>
    <row r="1509" spans="1:8">
      <c r="A1509">
        <v>8374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f t="shared" si="23"/>
        <v>0</v>
      </c>
    </row>
    <row r="1510" spans="1:8">
      <c r="A1510">
        <v>8390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f t="shared" si="23"/>
        <v>0</v>
      </c>
    </row>
    <row r="1511" spans="1:8">
      <c r="A1511">
        <v>9905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f t="shared" si="23"/>
        <v>0</v>
      </c>
    </row>
    <row r="1512" spans="1:8">
      <c r="A1512">
        <v>9941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f t="shared" si="23"/>
        <v>0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ref="H1514" si="24">SUM(C1514:G1514)</f>
        <v>0</v>
      </c>
    </row>
  </sheetData>
  <sortState ref="A2:I1513">
    <sortCondition descending="1" ref="H1:H1513"/>
  </sortState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207</v>
      </c>
      <c r="L1" t="s">
        <v>207</v>
      </c>
    </row>
    <row r="2" spans="1:12">
      <c r="A2" s="86">
        <v>5388</v>
      </c>
      <c r="B2" s="86" t="s">
        <v>10</v>
      </c>
      <c r="C2" s="86">
        <f>VLOOKUP("營業收入淨額",PKA!$B$1:$L$500,9,0)</f>
        <v>4802</v>
      </c>
      <c r="D2" s="86">
        <f>VLOOKUP("營業收入淨額",PKA!$B$1:$L$500,8,0)</f>
        <v>4671</v>
      </c>
      <c r="E2" s="86">
        <f>VLOOKUP("營業收入淨額",PKA!$B$1:$L$500,7,0)</f>
        <v>6021</v>
      </c>
      <c r="F2" s="86">
        <f>VLOOKUP("營業收入淨額",PKA!$B$1:$L$500,6,0)</f>
        <v>6147</v>
      </c>
      <c r="G2" s="86">
        <f>VLOOKUP("營業收入淨額",PKA!$B$1:$L$500,5,0)</f>
        <v>6354</v>
      </c>
      <c r="H2" s="86">
        <f>VLOOKUP("營業收入淨額",PKA!$B$1:$L$500,4,0)</f>
        <v>6347</v>
      </c>
      <c r="I2" s="86">
        <f>VLOOKUP("營業收入淨額",PKA!$B$1:$L$500,3,0)</f>
        <v>8562</v>
      </c>
      <c r="J2" s="86">
        <f>VLOOKUP("營業收入淨額",PKA!$B$1:$L$500,2,0)</f>
        <v>10415</v>
      </c>
      <c r="K2" s="86">
        <f>IF(ISNA(C4),MIN(C2:J3),MIN(C2:J4))</f>
        <v>4671</v>
      </c>
      <c r="L2" s="86">
        <f>IF(ISNA(C4),MAX(C2:J3),MAX(C2:J3))</f>
        <v>13719</v>
      </c>
    </row>
    <row r="3" spans="1:12">
      <c r="A3" s="86">
        <v>6285</v>
      </c>
      <c r="B3" s="86" t="s">
        <v>10</v>
      </c>
      <c r="C3" s="86">
        <f>VLOOKUP("營業收入淨額",PKB!$B$1:$L$500,9,0)</f>
        <v>9315</v>
      </c>
      <c r="D3" s="86">
        <f>VLOOKUP("營業收入淨額",PKB!$B$1:$L$500,8,0)</f>
        <v>8217</v>
      </c>
      <c r="E3" s="86">
        <f>VLOOKUP("營業收入淨額",PKB!$B$1:$L$500,7,0)</f>
        <v>10003</v>
      </c>
      <c r="F3" s="86">
        <f>VLOOKUP("營業收入淨額",PKB!$B$1:$L$500,6,0)</f>
        <v>10843</v>
      </c>
      <c r="G3" s="86">
        <f>VLOOKUP("營業收入淨額",PKB!$B$1:$L$500,5,0)</f>
        <v>11264</v>
      </c>
      <c r="H3" s="86">
        <f>VLOOKUP("營業收入淨額",PKB!$B$1:$L$500,4,0)</f>
        <v>11512</v>
      </c>
      <c r="I3" s="86">
        <f>VLOOKUP("營業收入淨額",PKB!$B$1:$L$500,3,0)</f>
        <v>12588</v>
      </c>
      <c r="J3" s="86">
        <f>VLOOKUP("營業收入淨額",PKB!$B$1:$L$500,2,0)</f>
        <v>13719</v>
      </c>
      <c r="K3" s="86"/>
      <c r="L3" s="86"/>
    </row>
    <row r="4" spans="1:12">
      <c r="A4" s="86"/>
      <c r="B4" s="86" t="s">
        <v>10</v>
      </c>
      <c r="C4" s="86" t="e">
        <f>VLOOKUP("營業收入淨額",PKC!$B$1:$L$500,9,0)</f>
        <v>#N/A</v>
      </c>
      <c r="D4" s="86" t="e">
        <f>VLOOKUP("營業收入淨額",PKC!$B$1:$L$500,8,0)</f>
        <v>#N/A</v>
      </c>
      <c r="E4" s="86" t="e">
        <f>VLOOKUP("營業收入淨額",PKC!$B$1:$L$500,7,0)</f>
        <v>#N/A</v>
      </c>
      <c r="F4" s="86" t="e">
        <f>VLOOKUP("營業收入淨額",PKC!$B$1:$L$500,6,0)</f>
        <v>#N/A</v>
      </c>
      <c r="G4" s="86" t="e">
        <f>VLOOKUP("營業收入淨額",PKC!$B$1:$L$500,5,0)</f>
        <v>#N/A</v>
      </c>
      <c r="H4" s="86" t="e">
        <f>VLOOKUP("營業收入淨額",PKC!$B$1:$L$500,4,0)</f>
        <v>#N/A</v>
      </c>
      <c r="I4" s="86" t="e">
        <f>VLOOKUP("營業收入淨額",PKC!$B$1:$L$500,3,0)</f>
        <v>#N/A</v>
      </c>
      <c r="J4" s="86" t="e">
        <f>VLOOKUP("營業收入淨額",PKC!$B$1:$L$500,2,0)</f>
        <v>#N/A</v>
      </c>
      <c r="K4" s="86"/>
      <c r="L4" s="86"/>
    </row>
    <row r="5" spans="1:12">
      <c r="A5" s="87">
        <v>5388</v>
      </c>
      <c r="B5" s="87" t="s">
        <v>11</v>
      </c>
      <c r="C5" s="87">
        <f>VLOOKUP("營業成本",PKA!$B$1:$L$500,9,0)</f>
        <v>3941</v>
      </c>
      <c r="D5" s="87">
        <f>VLOOKUP("營業成本",PKA!$B$1:$L$500,8,0)</f>
        <v>3880</v>
      </c>
      <c r="E5" s="87">
        <f>VLOOKUP("營業成本",PKA!$B$1:$L$500,7,0)</f>
        <v>5032</v>
      </c>
      <c r="F5" s="87">
        <f>VLOOKUP("營業成本",PKA!$B$1:$L$500,6,0)</f>
        <v>5222</v>
      </c>
      <c r="G5" s="87">
        <f>VLOOKUP("營業成本",PKA!$B$1:$L$500,5,0)</f>
        <v>5403</v>
      </c>
      <c r="H5" s="87">
        <f>VLOOKUP("營業成本",PKA!$B$1:$L$500,4,0)</f>
        <v>5483</v>
      </c>
      <c r="I5" s="87">
        <f>VLOOKUP("營業成本",PKA!$B$1:$L$500,3,0)</f>
        <v>7429</v>
      </c>
      <c r="J5" s="87">
        <f>VLOOKUP("營業成本",PKA!$B$1:$L$500,2,0)</f>
        <v>8862</v>
      </c>
      <c r="K5" s="87"/>
      <c r="L5" s="87"/>
    </row>
    <row r="6" spans="1:12">
      <c r="A6" s="87">
        <v>6285</v>
      </c>
      <c r="B6" s="87" t="s">
        <v>11</v>
      </c>
      <c r="C6" s="87">
        <f>VLOOKUP("營業成本",PKB!$B$1:$L$500,9,0)</f>
        <v>8044</v>
      </c>
      <c r="D6" s="87">
        <f>VLOOKUP("營業成本",PKB!$B$1:$L$500,8,0)</f>
        <v>7178</v>
      </c>
      <c r="E6" s="87">
        <f>VLOOKUP("營業成本",PKB!$B$1:$L$500,7,0)</f>
        <v>8602</v>
      </c>
      <c r="F6" s="87">
        <f>VLOOKUP("營業成本",PKB!$B$1:$L$500,6,0)</f>
        <v>9412</v>
      </c>
      <c r="G6" s="87">
        <f>VLOOKUP("營業成本",PKB!$B$1:$L$500,5,0)</f>
        <v>9715</v>
      </c>
      <c r="H6" s="87">
        <f>VLOOKUP("營業成本",PKB!$B$1:$L$500,4,0)</f>
        <v>9893</v>
      </c>
      <c r="I6" s="87">
        <f>VLOOKUP("營業成本",PKB!$B$1:$L$500,3,0)</f>
        <v>11023</v>
      </c>
      <c r="J6" s="87">
        <f>VLOOKUP("營業成本",PKB!$B$1:$L$500,2,0)</f>
        <v>11872</v>
      </c>
      <c r="K6" s="87"/>
      <c r="L6" s="87"/>
    </row>
    <row r="7" spans="1:12">
      <c r="A7" s="87"/>
      <c r="B7" s="87" t="s">
        <v>11</v>
      </c>
      <c r="C7" s="87" t="e">
        <f>VLOOKUP("營業成本",PKC!$B$1:$L$500,9,0)</f>
        <v>#N/A</v>
      </c>
      <c r="D7" s="87" t="e">
        <f>VLOOKUP("營業成本",PKC!$B$1:$L$500,8,0)</f>
        <v>#N/A</v>
      </c>
      <c r="E7" s="87" t="e">
        <f>VLOOKUP("營業成本",PKC!$B$1:$L$500,7,0)</f>
        <v>#N/A</v>
      </c>
      <c r="F7" s="87" t="e">
        <f>VLOOKUP("營業成本",PKC!$B$1:$L$500,6,0)</f>
        <v>#N/A</v>
      </c>
      <c r="G7" s="87" t="e">
        <f>VLOOKUP("營業成本",PKC!$B$1:$L$500,5,0)</f>
        <v>#N/A</v>
      </c>
      <c r="H7" s="87" t="e">
        <f>VLOOKUP("營業成本",PKC!$B$1:$L$500,4,0)</f>
        <v>#N/A</v>
      </c>
      <c r="I7" s="87" t="e">
        <f>VLOOKUP("營業成本",PKC!$B$1:$L$500,3,0)</f>
        <v>#N/A</v>
      </c>
      <c r="J7" s="87" t="e">
        <f>VLOOKUP("營業成本",PKC!$B$1:$L$500,2,0)</f>
        <v>#N/A</v>
      </c>
      <c r="K7" s="87"/>
      <c r="L7" s="87"/>
    </row>
    <row r="8" spans="1:12">
      <c r="A8" s="88">
        <v>5388</v>
      </c>
      <c r="B8" s="88" t="s">
        <v>13</v>
      </c>
      <c r="C8" s="88">
        <f>VLOOKUP("本期稅後淨利",PKA!$B$1:$L$500,9,0)</f>
        <v>222</v>
      </c>
      <c r="D8" s="88">
        <f>VLOOKUP("本期稅後淨利",PKA!$B$1:$L$500,8,0)</f>
        <v>184</v>
      </c>
      <c r="E8" s="88">
        <f>VLOOKUP("本期稅後淨利",PKA!$B$1:$L$500,7,0)</f>
        <v>272</v>
      </c>
      <c r="F8" s="88">
        <f>VLOOKUP("本期稅後淨利",PKA!$B$1:$L$500,6,0)</f>
        <v>239</v>
      </c>
      <c r="G8" s="88">
        <f>VLOOKUP("本期稅後淨利",PKA!$B$1:$L$500,5,0)</f>
        <v>255</v>
      </c>
      <c r="H8" s="88">
        <f>VLOOKUP("本期稅後淨利",PKA!$B$1:$L$500,4,0)</f>
        <v>168</v>
      </c>
      <c r="I8" s="88">
        <f>VLOOKUP("本期稅後淨利",PKA!$B$1:$L$500,3,0)</f>
        <v>329</v>
      </c>
      <c r="J8" s="88">
        <f>VLOOKUP("本期稅後淨利",PKA!$B$1:$L$500,2,0)</f>
        <v>442</v>
      </c>
      <c r="K8" s="88"/>
      <c r="L8" s="88"/>
    </row>
    <row r="9" spans="1:12">
      <c r="A9" s="88">
        <v>6285</v>
      </c>
      <c r="B9" s="88" t="s">
        <v>13</v>
      </c>
      <c r="C9" s="88">
        <f>VLOOKUP("本期稅後淨利",PKB!$B$1:$L$500,9,0)</f>
        <v>309</v>
      </c>
      <c r="D9" s="88">
        <f>VLOOKUP("本期稅後淨利",PKB!$B$1:$L$500,8,0)</f>
        <v>246</v>
      </c>
      <c r="E9" s="88">
        <f>VLOOKUP("本期稅後淨利",PKB!$B$1:$L$500,7,0)</f>
        <v>371</v>
      </c>
      <c r="F9" s="88">
        <f>VLOOKUP("本期稅後淨利",PKB!$B$1:$L$500,6,0)</f>
        <v>361</v>
      </c>
      <c r="G9" s="88">
        <f>VLOOKUP("本期稅後淨利",PKB!$B$1:$L$500,5,0)</f>
        <v>398</v>
      </c>
      <c r="H9" s="88">
        <f>VLOOKUP("本期稅後淨利",PKB!$B$1:$L$500,4,0)</f>
        <v>461</v>
      </c>
      <c r="I9" s="88">
        <f>VLOOKUP("本期稅後淨利",PKB!$B$1:$L$500,3,0)</f>
        <v>396</v>
      </c>
      <c r="J9" s="88">
        <f>VLOOKUP("本期稅後淨利",PKB!$B$1:$L$500,2,0)</f>
        <v>605</v>
      </c>
      <c r="K9" s="88"/>
      <c r="L9" s="88"/>
    </row>
    <row r="10" spans="1:12">
      <c r="A10" s="88"/>
      <c r="B10" s="88" t="s">
        <v>13</v>
      </c>
      <c r="C10" s="88" t="e">
        <f>VLOOKUP("本期稅後淨利",PKC!$B$1:$L$500,9,0)</f>
        <v>#N/A</v>
      </c>
      <c r="D10" s="88" t="e">
        <f>VLOOKUP("本期稅後淨利",PKC!$B$1:$L$500,8,0)</f>
        <v>#N/A</v>
      </c>
      <c r="E10" s="88" t="e">
        <f>VLOOKUP("本期稅後淨利",PKC!$B$1:$L$500,7,0)</f>
        <v>#N/A</v>
      </c>
      <c r="F10" s="88" t="e">
        <f>VLOOKUP("本期稅後淨利",PKC!$B$1:$L$500,6,0)</f>
        <v>#N/A</v>
      </c>
      <c r="G10" s="88" t="e">
        <f>VLOOKUP("本期稅後淨利",PKC!$B$1:$L$500,5,0)</f>
        <v>#N/A</v>
      </c>
      <c r="H10" s="88" t="e">
        <f>VLOOKUP("本期稅後淨利",PKC!$B$1:$L$500,4,0)</f>
        <v>#N/A</v>
      </c>
      <c r="I10" s="88" t="e">
        <f>VLOOKUP("本期稅後淨利",PKC!$B$1:$L$500,3,0)</f>
        <v>#N/A</v>
      </c>
      <c r="J10" s="88" t="e">
        <f>VLOOKUP("本期稅後淨利",PKC!$B$1:$L$500,2,0)</f>
        <v>#N/A</v>
      </c>
      <c r="K10" s="88"/>
      <c r="L10" s="88"/>
    </row>
    <row r="11" spans="1:12">
      <c r="A11" s="89">
        <v>5388</v>
      </c>
      <c r="B11" s="89" t="s">
        <v>208</v>
      </c>
      <c r="C11" s="89">
        <f>VLOOKUP("每股盈餘 (元)",PKA!$B$1:$L$500,9,0)</f>
        <v>1.1000000000000001</v>
      </c>
      <c r="D11" s="89">
        <f>VLOOKUP("每股盈餘 (元)",PKA!$B$1:$L$500,8,0)</f>
        <v>0.84</v>
      </c>
      <c r="E11" s="89">
        <f>VLOOKUP("每股盈餘 (元)",PKA!$B$1:$L$500,7,0)</f>
        <v>1.22</v>
      </c>
      <c r="F11" s="89">
        <f>VLOOKUP("每股盈餘 (元)",PKA!$B$1:$L$500,6,0)</f>
        <v>1.07</v>
      </c>
      <c r="G11" s="89">
        <f>VLOOKUP("每股盈餘 (元)",PKA!$B$1:$L$500,5,0)</f>
        <v>1.1299999999999999</v>
      </c>
      <c r="H11" s="89">
        <f>VLOOKUP("每股盈餘 (元)",PKA!$B$1:$L$500,4,0)</f>
        <v>0.73</v>
      </c>
      <c r="I11" s="89">
        <f>VLOOKUP("每股盈餘 (元)",PKA!$B$1:$L$500,3,0)</f>
        <v>1.43</v>
      </c>
      <c r="J11" s="89">
        <f>VLOOKUP("每股盈餘 (元)",PKA!$B$1:$L$500,2,0)</f>
        <v>1.89</v>
      </c>
      <c r="K11" s="89"/>
      <c r="L11" s="89">
        <f>(SUM(G11:J11)/2)+(J11+I11)/2+(((G11-F11)/F11)+1)*J11</f>
        <v>6.2459813084112143</v>
      </c>
    </row>
    <row r="12" spans="1:12">
      <c r="A12" s="89">
        <v>6285</v>
      </c>
      <c r="B12" s="89" t="s">
        <v>208</v>
      </c>
      <c r="C12" s="89">
        <f>VLOOKUP("每股盈餘 (元)",PKB!$B$1:$L$500,9,0)</f>
        <v>0.98</v>
      </c>
      <c r="D12" s="89">
        <f>VLOOKUP("每股盈餘 (元)",PKB!$B$1:$L$500,8,0)</f>
        <v>0.78</v>
      </c>
      <c r="E12" s="89">
        <f>VLOOKUP("每股盈餘 (元)",PKB!$B$1:$L$500,7,0)</f>
        <v>1.18</v>
      </c>
      <c r="F12" s="89">
        <f>VLOOKUP("每股盈餘 (元)",PKB!$B$1:$L$500,6,0)</f>
        <v>1.1200000000000001</v>
      </c>
      <c r="G12" s="89">
        <f>VLOOKUP("每股盈餘 (元)",PKB!$B$1:$L$500,5,0)</f>
        <v>1.24</v>
      </c>
      <c r="H12" s="89">
        <f>VLOOKUP("每股盈餘 (元)",PKB!$B$1:$L$500,4,0)</f>
        <v>1.43</v>
      </c>
      <c r="I12" s="89">
        <f>VLOOKUP("每股盈餘 (元)",PKB!$B$1:$L$500,3,0)</f>
        <v>1.22</v>
      </c>
      <c r="J12" s="89">
        <f>VLOOKUP("每股盈餘 (元)",PKB!$B$1:$L$500,2,0)</f>
        <v>1.83</v>
      </c>
      <c r="K12" s="89"/>
      <c r="L12" s="89">
        <f>(SUM(G12:J12)/2)+(J12+I12)/2+(((G12-F12)/F12)+1)*J12</f>
        <v>6.4110714285714288</v>
      </c>
    </row>
    <row r="13" spans="1:12">
      <c r="A13" s="89"/>
      <c r="B13" s="89" t="s">
        <v>208</v>
      </c>
      <c r="C13" s="89" t="e">
        <f>VLOOKUP("每股盈餘 (元)",PKC!$B$1:$L$500,9,0)</f>
        <v>#N/A</v>
      </c>
      <c r="D13" s="89" t="e">
        <f>VLOOKUP("每股盈餘 (元)",PKC!$B$1:$L$500,8,0)</f>
        <v>#N/A</v>
      </c>
      <c r="E13" s="89" t="e">
        <f>VLOOKUP("每股盈餘 (元)",PKC!$B$1:$L$500,7,0)</f>
        <v>#N/A</v>
      </c>
      <c r="F13" s="89" t="e">
        <f>VLOOKUP("每股盈餘 (元)",PKC!$B$1:$L$500,6,0)</f>
        <v>#N/A</v>
      </c>
      <c r="G13" s="89" t="e">
        <f>VLOOKUP("每股盈餘 (元)",PKC!$B$1:$L$500,5,0)</f>
        <v>#N/A</v>
      </c>
      <c r="H13" s="89" t="e">
        <f>VLOOKUP("每股盈餘 (元)",PKC!$B$1:$L$500,4,0)</f>
        <v>#N/A</v>
      </c>
      <c r="I13" s="89" t="e">
        <f>VLOOKUP("每股盈餘 (元)",PKC!$B$1:$L$500,3,0)</f>
        <v>#N/A</v>
      </c>
      <c r="J13" s="89" t="e">
        <f>VLOOKUP("每股盈餘 (元)",PKC!$B$1:$L$500,2,0)</f>
        <v>#N/A</v>
      </c>
      <c r="K13" s="89"/>
      <c r="L13" s="89" t="e">
        <f>(SUM(G13:J13)/2)+(J13+I13)/2+(((G13-F13)/F13)+1)*J13</f>
        <v>#N/A</v>
      </c>
    </row>
    <row r="14" spans="1:12">
      <c r="A14" s="90">
        <v>5388</v>
      </c>
      <c r="B14" s="90" t="s">
        <v>190</v>
      </c>
      <c r="C14" s="90">
        <f>VLOOKUP(" 應收帳款及票據",PKA!$B$1:$L$500,9,0)</f>
        <v>2626</v>
      </c>
      <c r="D14" s="90">
        <f>VLOOKUP(" 應收帳款及票據",PKA!$B$1:$L$500,8,0)</f>
        <v>3133</v>
      </c>
      <c r="E14" s="90">
        <f>VLOOKUP(" 應收帳款及票據",PKA!$B$1:$L$500,7,0)</f>
        <v>3481</v>
      </c>
      <c r="F14" s="90">
        <f>VLOOKUP(" 應收帳款及票據",PKA!$B$1:$L$500,6,0)</f>
        <v>3836</v>
      </c>
      <c r="G14" s="90">
        <f>VLOOKUP(" 應收帳款及票據",PKA!$B$1:$L$500,5,0)</f>
        <v>4412</v>
      </c>
      <c r="H14" s="90">
        <f>VLOOKUP(" 應收帳款及票據",PKA!$B$1:$L$500,4,0)</f>
        <v>5090</v>
      </c>
      <c r="I14" s="90">
        <f>VLOOKUP(" 應收帳款及票據",PKA!$B$1:$L$500,3,0)</f>
        <v>6755</v>
      </c>
      <c r="J14" s="90">
        <f>VLOOKUP(" 應收帳款及票據",PKA!$B$1:$L$500,2,0)</f>
        <v>6920</v>
      </c>
      <c r="K14" s="90"/>
      <c r="L14" s="90"/>
    </row>
    <row r="15" spans="1:12">
      <c r="A15" s="90">
        <v>6285</v>
      </c>
      <c r="B15" s="90" t="s">
        <v>190</v>
      </c>
      <c r="C15" s="90">
        <f>VLOOKUP(" 應收帳款及票據",PKB!$B$1:$L$500,9,0)</f>
        <v>5530</v>
      </c>
      <c r="D15" s="90">
        <f>VLOOKUP(" 應收帳款及票據",PKB!$B$1:$L$500,8,0)</f>
        <v>5477</v>
      </c>
      <c r="E15" s="90">
        <f>VLOOKUP(" 應收帳款及票據",PKB!$B$1:$L$500,7,0)</f>
        <v>7093</v>
      </c>
      <c r="F15" s="90">
        <f>VLOOKUP(" 應收帳款及票據",PKB!$B$1:$L$500,6,0)</f>
        <v>7688</v>
      </c>
      <c r="G15" s="90">
        <f>VLOOKUP(" 應收帳款及票據",PKB!$B$1:$L$500,5,0)</f>
        <v>7511</v>
      </c>
      <c r="H15" s="90">
        <f>VLOOKUP(" 應收帳款及票據",PKB!$B$1:$L$500,4,0)</f>
        <v>7519</v>
      </c>
      <c r="I15" s="90">
        <f>VLOOKUP(" 應收帳款及票據",PKB!$B$1:$L$500,3,0)</f>
        <v>8516</v>
      </c>
      <c r="J15" s="90">
        <f>VLOOKUP(" 應收帳款及票據",PKB!$B$1:$L$500,2,0)</f>
        <v>9476</v>
      </c>
      <c r="K15" s="90"/>
      <c r="L15" s="90"/>
    </row>
    <row r="16" spans="1:12">
      <c r="A16" s="90"/>
      <c r="B16" s="90" t="s">
        <v>190</v>
      </c>
      <c r="C16" s="90" t="e">
        <f>VLOOKUP(" 應收帳款及票據",PKC!$B$1:$L$500,9,0)</f>
        <v>#N/A</v>
      </c>
      <c r="D16" s="90" t="e">
        <f>VLOOKUP(" 應收帳款及票據",PKC!$B$1:$L$500,8,0)</f>
        <v>#N/A</v>
      </c>
      <c r="E16" s="90" t="e">
        <f>VLOOKUP(" 應收帳款及票據",PKC!$B$1:$L$500,7,0)</f>
        <v>#N/A</v>
      </c>
      <c r="F16" s="90" t="e">
        <f>VLOOKUP(" 應收帳款及票據",PKC!$B$1:$L$500,6,0)</f>
        <v>#N/A</v>
      </c>
      <c r="G16" s="90" t="e">
        <f>VLOOKUP(" 應收帳款及票據",PKC!$B$1:$L$500,5,0)</f>
        <v>#N/A</v>
      </c>
      <c r="H16" s="90" t="e">
        <f>VLOOKUP(" 應收帳款及票據",PKC!$B$1:$L$500,4,0)</f>
        <v>#N/A</v>
      </c>
      <c r="I16" s="90" t="e">
        <f>VLOOKUP(" 應收帳款及票據",PKC!$B$1:$L$500,3,0)</f>
        <v>#N/A</v>
      </c>
      <c r="J16" s="90" t="e">
        <f>VLOOKUP(" 應收帳款及票據",PKC!$B$1:$L$500,2,0)</f>
        <v>#N/A</v>
      </c>
      <c r="K16" s="90"/>
      <c r="L16" s="90"/>
    </row>
    <row r="17" spans="1:12">
      <c r="A17" s="86">
        <v>5388</v>
      </c>
      <c r="B17" s="86" t="s">
        <v>15</v>
      </c>
      <c r="C17" s="86">
        <f>VLOOKUP(" 存貨",PKA!$B$1:$L$500,9,0)</f>
        <v>2634</v>
      </c>
      <c r="D17" s="86">
        <f>VLOOKUP(" 存貨",PKA!$B$1:$L$500,8,0)</f>
        <v>3112</v>
      </c>
      <c r="E17" s="86">
        <f>VLOOKUP(" 存貨",PKA!$B$1:$L$500,7,0)</f>
        <v>3288</v>
      </c>
      <c r="F17" s="86">
        <f>VLOOKUP(" 存貨",PKA!$B$1:$L$500,6,0)</f>
        <v>3292</v>
      </c>
      <c r="G17" s="86">
        <f>VLOOKUP(" 存貨",PKA!$B$1:$L$500,5,0)</f>
        <v>3629</v>
      </c>
      <c r="H17" s="86">
        <f>VLOOKUP(" 存貨",PKA!$B$1:$L$500,4,0)</f>
        <v>4173</v>
      </c>
      <c r="I17" s="86">
        <f>VLOOKUP(" 存貨",PKA!$B$1:$L$500,3,0)</f>
        <v>5158</v>
      </c>
      <c r="J17" s="86">
        <f>VLOOKUP(" 存貨",PKA!$B$1:$L$500,2,0)</f>
        <v>5575</v>
      </c>
      <c r="K17" s="86"/>
      <c r="L17" s="86"/>
    </row>
    <row r="18" spans="1:12">
      <c r="A18" s="86">
        <v>6285</v>
      </c>
      <c r="B18" s="86" t="s">
        <v>15</v>
      </c>
      <c r="C18" s="86">
        <f>VLOOKUP(" 存貨",PKB!$B$1:$L$500,9,0)</f>
        <v>3139</v>
      </c>
      <c r="D18" s="86">
        <f>VLOOKUP(" 存貨",PKB!$B$1:$L$500,8,0)</f>
        <v>2791</v>
      </c>
      <c r="E18" s="86">
        <f>VLOOKUP(" 存貨",PKB!$B$1:$L$500,7,0)</f>
        <v>2870</v>
      </c>
      <c r="F18" s="86">
        <f>VLOOKUP(" 存貨",PKB!$B$1:$L$500,6,0)</f>
        <v>3807</v>
      </c>
      <c r="G18" s="86">
        <f>VLOOKUP(" 存貨",PKB!$B$1:$L$500,5,0)</f>
        <v>4468</v>
      </c>
      <c r="H18" s="86">
        <f>VLOOKUP(" 存貨",PKB!$B$1:$L$500,4,0)</f>
        <v>5443</v>
      </c>
      <c r="I18" s="86">
        <f>VLOOKUP(" 存貨",PKB!$B$1:$L$500,3,0)</f>
        <v>4631</v>
      </c>
      <c r="J18" s="86">
        <f>VLOOKUP(" 存貨",PKB!$B$1:$L$500,2,0)</f>
        <v>6389</v>
      </c>
      <c r="K18" s="86"/>
      <c r="L18" s="86"/>
    </row>
    <row r="19" spans="1:12">
      <c r="A19" s="86"/>
      <c r="B19" s="86" t="s">
        <v>15</v>
      </c>
      <c r="C19" s="86" t="e">
        <f>VLOOKUP(" 存貨",PKC!$B$1:$L$500,9,0)</f>
        <v>#N/A</v>
      </c>
      <c r="D19" s="86" t="e">
        <f>VLOOKUP(" 存貨",PKC!$B$1:$L$500,8,0)</f>
        <v>#N/A</v>
      </c>
      <c r="E19" s="86" t="e">
        <f>VLOOKUP(" 存貨",PKC!$B$1:$L$500,7,0)</f>
        <v>#N/A</v>
      </c>
      <c r="F19" s="86" t="e">
        <f>VLOOKUP(" 存貨",PKC!$B$1:$L$500,6,0)</f>
        <v>#N/A</v>
      </c>
      <c r="G19" s="86" t="e">
        <f>VLOOKUP(" 存貨",PKC!$B$1:$L$500,5,0)</f>
        <v>#N/A</v>
      </c>
      <c r="H19" s="86" t="e">
        <f>VLOOKUP(" 存貨",PKC!$B$1:$L$500,4,0)</f>
        <v>#N/A</v>
      </c>
      <c r="I19" s="86" t="e">
        <f>VLOOKUP(" 存貨",PKC!$B$1:$L$500,3,0)</f>
        <v>#N/A</v>
      </c>
      <c r="J19" s="86" t="e">
        <f>VLOOKUP(" 存貨",PKC!$B$1:$L$500,2,0)</f>
        <v>#N/A</v>
      </c>
      <c r="K19" s="86"/>
      <c r="L19" s="86"/>
    </row>
    <row r="20" spans="1:12">
      <c r="A20" s="87">
        <v>5388</v>
      </c>
      <c r="B20" s="87" t="s">
        <v>17</v>
      </c>
      <c r="C20" s="87">
        <f>VLOOKUP("負債總額",PKA!$B$1:$L$500,9,0)</f>
        <v>8665</v>
      </c>
      <c r="D20" s="87">
        <f>VLOOKUP("負債總額",PKA!$B$1:$L$500,8,0)</f>
        <v>8920</v>
      </c>
      <c r="E20" s="87">
        <f>VLOOKUP("負債總額",PKA!$B$1:$L$500,7,0)</f>
        <v>10918</v>
      </c>
      <c r="F20" s="87">
        <f>VLOOKUP("負債總額",PKA!$B$1:$L$500,6,0)</f>
        <v>10799</v>
      </c>
      <c r="G20" s="87">
        <f>VLOOKUP("負債總額",PKA!$B$1:$L$500,5,0)</f>
        <v>11929</v>
      </c>
      <c r="H20" s="87">
        <f>VLOOKUP("負債總額",PKA!$B$1:$L$500,4,0)</f>
        <v>12899</v>
      </c>
      <c r="I20" s="87">
        <f>VLOOKUP("負債總額",PKA!$B$1:$L$500,3,0)</f>
        <v>16456</v>
      </c>
      <c r="J20" s="87">
        <f>VLOOKUP("負債總額",PKA!$B$1:$L$500,2,0)</f>
        <v>16974</v>
      </c>
      <c r="K20" s="87"/>
      <c r="L20" s="87"/>
    </row>
    <row r="21" spans="1:12">
      <c r="A21" s="87">
        <v>6285</v>
      </c>
      <c r="B21" s="87" t="s">
        <v>17</v>
      </c>
      <c r="C21" s="87">
        <f>VLOOKUP("負債總額",PKB!$B$1:$L$500,9,0)</f>
        <v>11748</v>
      </c>
      <c r="D21" s="87">
        <f>VLOOKUP("負債總額",PKB!$B$1:$L$500,8,0)</f>
        <v>11334</v>
      </c>
      <c r="E21" s="87">
        <f>VLOOKUP("負債總額",PKB!$B$1:$L$500,7,0)</f>
        <v>11613</v>
      </c>
      <c r="F21" s="87">
        <f>VLOOKUP("負債總額",PKB!$B$1:$L$500,6,0)</f>
        <v>11937</v>
      </c>
      <c r="G21" s="87">
        <f>VLOOKUP("負債總額",PKB!$B$1:$L$500,5,0)</f>
        <v>12594</v>
      </c>
      <c r="H21" s="87">
        <f>VLOOKUP("負債總額",PKB!$B$1:$L$500,4,0)</f>
        <v>12934</v>
      </c>
      <c r="I21" s="87">
        <f>VLOOKUP("負債總額",PKB!$B$1:$L$500,3,0)</f>
        <v>13503</v>
      </c>
      <c r="J21" s="87">
        <f>VLOOKUP("負債總額",PKB!$B$1:$L$500,2,0)</f>
        <v>15771</v>
      </c>
      <c r="K21" s="87"/>
      <c r="L21" s="87"/>
    </row>
    <row r="22" spans="1:12">
      <c r="A22" s="87"/>
      <c r="B22" s="87" t="s">
        <v>17</v>
      </c>
      <c r="C22" s="87" t="e">
        <f>VLOOKUP("負債總額",PKC!$B$1:$L$500,9,0)</f>
        <v>#N/A</v>
      </c>
      <c r="D22" s="87" t="e">
        <f>VLOOKUP("負債總額",PKC!$B$1:$L$500,8,0)</f>
        <v>#N/A</v>
      </c>
      <c r="E22" s="87" t="e">
        <f>VLOOKUP("負債總額",PKC!$B$1:$L$500,7,0)</f>
        <v>#N/A</v>
      </c>
      <c r="F22" s="87" t="e">
        <f>VLOOKUP("負債總額",PKC!$B$1:$L$500,6,0)</f>
        <v>#N/A</v>
      </c>
      <c r="G22" s="87" t="e">
        <f>VLOOKUP("負債總額",PKC!$B$1:$L$500,5,0)</f>
        <v>#N/A</v>
      </c>
      <c r="H22" s="87" t="e">
        <f>VLOOKUP("負債總額",PKC!$B$1:$L$500,4,0)</f>
        <v>#N/A</v>
      </c>
      <c r="I22" s="87" t="e">
        <f>VLOOKUP("負債總額",PKC!$B$1:$L$500,3,0)</f>
        <v>#N/A</v>
      </c>
      <c r="J22" s="87" t="e">
        <f>VLOOKUP("負債總額",PKC!$B$1:$L$500,2,0)</f>
        <v>#N/A</v>
      </c>
      <c r="K22" s="87"/>
      <c r="L22" s="87"/>
    </row>
    <row r="23" spans="1:12">
      <c r="A23" s="88">
        <v>5388</v>
      </c>
      <c r="B23" s="88" t="s">
        <v>18</v>
      </c>
      <c r="C23" s="88">
        <f>VLOOKUP("資產總額",PKA!$B$1:$L$500,9,0)</f>
        <v>13393</v>
      </c>
      <c r="D23" s="88">
        <f>VLOOKUP("資產總額",PKA!$B$1:$L$500,8,0)</f>
        <v>14385</v>
      </c>
      <c r="E23" s="88">
        <f>VLOOKUP("資產總額",PKA!$B$1:$L$500,7,0)</f>
        <v>16041</v>
      </c>
      <c r="F23" s="88">
        <f>VLOOKUP("資產總額",PKA!$B$1:$L$500,6,0)</f>
        <v>16421</v>
      </c>
      <c r="G23" s="88">
        <f>VLOOKUP("資產總額",PKA!$B$1:$L$500,5,0)</f>
        <v>17988</v>
      </c>
      <c r="H23" s="88">
        <f>VLOOKUP("資產總額",PKA!$B$1:$L$500,4,0)</f>
        <v>19363</v>
      </c>
      <c r="I23" s="88">
        <f>VLOOKUP("資產總額",PKA!$B$1:$L$500,3,0)</f>
        <v>22328</v>
      </c>
      <c r="J23" s="88">
        <f>VLOOKUP("資產總額",PKA!$B$1:$L$500,2,0)</f>
        <v>23673</v>
      </c>
      <c r="K23" s="88"/>
      <c r="L23" s="88"/>
    </row>
    <row r="24" spans="1:12">
      <c r="A24" s="88">
        <v>6285</v>
      </c>
      <c r="B24" s="88" t="s">
        <v>18</v>
      </c>
      <c r="C24" s="88">
        <f>VLOOKUP("資產總額",PKB!$B$1:$L$500,9,0)</f>
        <v>22270</v>
      </c>
      <c r="D24" s="88">
        <f>VLOOKUP("資產總額",PKB!$B$1:$L$500,8,0)</f>
        <v>22120</v>
      </c>
      <c r="E24" s="88">
        <f>VLOOKUP("資產總額",PKB!$B$1:$L$500,7,0)</f>
        <v>21813</v>
      </c>
      <c r="F24" s="88">
        <f>VLOOKUP("資產總額",PKB!$B$1:$L$500,6,0)</f>
        <v>22604</v>
      </c>
      <c r="G24" s="88">
        <f>VLOOKUP("資產總額",PKB!$B$1:$L$500,5,0)</f>
        <v>23829</v>
      </c>
      <c r="H24" s="88">
        <f>VLOOKUP("資產總額",PKB!$B$1:$L$500,4,0)</f>
        <v>24611</v>
      </c>
      <c r="I24" s="88">
        <f>VLOOKUP("資產總額",PKB!$B$1:$L$500,3,0)</f>
        <v>24678</v>
      </c>
      <c r="J24" s="88">
        <f>VLOOKUP("資產總額",PKB!$B$1:$L$500,2,0)</f>
        <v>27763</v>
      </c>
      <c r="K24" s="88"/>
      <c r="L24" s="88"/>
    </row>
    <row r="25" spans="1:12">
      <c r="A25" s="88"/>
      <c r="B25" s="88" t="s">
        <v>18</v>
      </c>
      <c r="C25" s="88" t="e">
        <f>VLOOKUP("資產總額",PKC!$B$1:$L$500,9,0)</f>
        <v>#N/A</v>
      </c>
      <c r="D25" s="88" t="e">
        <f>VLOOKUP("資產總額",PKC!$B$1:$L$500,8,0)</f>
        <v>#N/A</v>
      </c>
      <c r="E25" s="88" t="e">
        <f>VLOOKUP("資產總額",PKC!$B$1:$L$500,7,0)</f>
        <v>#N/A</v>
      </c>
      <c r="F25" s="88" t="e">
        <f>VLOOKUP("資產總額",PKC!$B$1:$L$500,6,0)</f>
        <v>#N/A</v>
      </c>
      <c r="G25" s="88" t="e">
        <f>VLOOKUP("資產總額",PKC!$B$1:$L$500,5,0)</f>
        <v>#N/A</v>
      </c>
      <c r="H25" s="88" t="e">
        <f>VLOOKUP("資產總額",PKC!$B$1:$L$500,4,0)</f>
        <v>#N/A</v>
      </c>
      <c r="I25" s="88" t="e">
        <f>VLOOKUP("資產總額",PKC!$B$1:$L$500,3,0)</f>
        <v>#N/A</v>
      </c>
      <c r="J25" s="88" t="e">
        <f>VLOOKUP("資產總額",PKC!$B$1:$L$500,2,0)</f>
        <v>#N/A</v>
      </c>
      <c r="K25" s="88"/>
      <c r="L25" s="88"/>
    </row>
    <row r="26" spans="1:12">
      <c r="A26" s="89">
        <v>5388</v>
      </c>
      <c r="B26" s="89" t="s">
        <v>209</v>
      </c>
      <c r="C26" s="89">
        <f>VLOOKUP("來自營運之現金流量",PKA!$B$1:$L$500,9,0)</f>
        <v>172</v>
      </c>
      <c r="D26" s="89">
        <f>VLOOKUP("來自營運之現金流量",PKA!$B$1:$L$500,8,0)</f>
        <v>-393</v>
      </c>
      <c r="E26" s="89">
        <f>VLOOKUP("來自營運之現金流量",PKA!$B$1:$L$500,7,0)</f>
        <v>543</v>
      </c>
      <c r="F26" s="89">
        <f>VLOOKUP("來自營運之現金流量",PKA!$B$1:$L$500,6,0)</f>
        <v>526</v>
      </c>
      <c r="G26" s="89">
        <f>VLOOKUP("來自營運之現金流量",PKA!$B$1:$L$500,5,0)</f>
        <v>104</v>
      </c>
      <c r="H26" s="89">
        <f>VLOOKUP("來自營運之現金流量",PKA!$B$1:$L$500,4,0)</f>
        <v>-442</v>
      </c>
      <c r="I26" s="89">
        <f>VLOOKUP("來自營運之現金流量",PKA!$B$1:$L$500,3,0)</f>
        <v>74</v>
      </c>
      <c r="J26" s="89">
        <f>VLOOKUP("來自營運之現金流量",PKA!$B$1:$L$500,2,0)</f>
        <v>1568</v>
      </c>
      <c r="K26" s="89">
        <f>IF(ISNA(C28),MIN(C26:J27),MIN(C26:J28))</f>
        <v>-442</v>
      </c>
      <c r="L26" s="89">
        <f>IF(ISNA(C28),MAX(C26:J27),MAX(C26:J28))</f>
        <v>1568</v>
      </c>
    </row>
    <row r="27" spans="1:12">
      <c r="A27" s="89">
        <v>6285</v>
      </c>
      <c r="B27" s="89" t="s">
        <v>210</v>
      </c>
      <c r="C27" s="89">
        <f>VLOOKUP("來自營運之現金流量",PKB!$B$1:$L$500,9,0)</f>
        <v>1095</v>
      </c>
      <c r="D27" s="89">
        <f>VLOOKUP("來自營運之現金流量",PKB!$B$1:$L$500,8,0)</f>
        <v>28</v>
      </c>
      <c r="E27" s="89">
        <f>VLOOKUP("來自營運之現金流量",PKB!$B$1:$L$500,7,0)</f>
        <v>378</v>
      </c>
      <c r="F27" s="89">
        <f>VLOOKUP("來自營運之現金流量",PKB!$B$1:$L$500,6,0)</f>
        <v>205</v>
      </c>
      <c r="G27" s="89">
        <f>VLOOKUP("來自營運之現金流量",PKB!$B$1:$L$500,5,0)</f>
        <v>814</v>
      </c>
      <c r="H27" s="89">
        <f>VLOOKUP("來自營運之現金流量",PKB!$B$1:$L$500,4,0)</f>
        <v>-213</v>
      </c>
      <c r="I27" s="89">
        <f>VLOOKUP("來自營運之現金流量",PKB!$B$1:$L$500,3,0)</f>
        <v>310</v>
      </c>
      <c r="J27" s="89">
        <f>VLOOKUP("來自營運之現金流量",PKB!$B$1:$L$500,2,0)</f>
        <v>1207</v>
      </c>
      <c r="K27" s="89"/>
      <c r="L27" s="89"/>
    </row>
    <row r="28" spans="1:12">
      <c r="A28" s="89"/>
      <c r="B28" s="89" t="s">
        <v>210</v>
      </c>
      <c r="C28" s="89" t="e">
        <f>VLOOKUP("來自營運之現金流量",PKC!$B$1:$L$500,9,0)</f>
        <v>#N/A</v>
      </c>
      <c r="D28" s="89" t="e">
        <f>VLOOKUP("來自營運之現金流量",PKC!$B$1:$L$500,8,0)</f>
        <v>#N/A</v>
      </c>
      <c r="E28" s="89" t="e">
        <f>VLOOKUP("來自營運之現金流量",PKC!$B$1:$L$500,7,0)</f>
        <v>#N/A</v>
      </c>
      <c r="F28" s="89" t="e">
        <f>VLOOKUP("來自營運之現金流量",PKC!$B$1:$L$500,6,0)</f>
        <v>#N/A</v>
      </c>
      <c r="G28" s="89" t="e">
        <f>VLOOKUP("來自營運之現金流量",PKC!$B$1:$L$500,5,0)</f>
        <v>#N/A</v>
      </c>
      <c r="H28" s="89" t="e">
        <f>VLOOKUP("來自營運之現金流量",PKC!$B$1:$L$500,4,0)</f>
        <v>#N/A</v>
      </c>
      <c r="I28" s="89" t="e">
        <f>VLOOKUP("來自營運之現金流量",PKC!$B$1:$L$500,3,0)</f>
        <v>#N/A</v>
      </c>
      <c r="J28" s="89" t="e">
        <f>VLOOKUP("來自營運之現金流量",PKC!$B$1:$L$500,2,0)</f>
        <v>#N/A</v>
      </c>
      <c r="K28" s="89"/>
      <c r="L28" s="89"/>
    </row>
    <row r="29" spans="1:12">
      <c r="A29" s="90">
        <v>5388</v>
      </c>
      <c r="B29" s="90" t="s">
        <v>131</v>
      </c>
      <c r="C29" s="90">
        <f>VLOOKUP("投資活動之現金流量",PKA!$B$1:$L$500,9,0)</f>
        <v>-91</v>
      </c>
      <c r="D29" s="90">
        <f>VLOOKUP("投資活動之現金流量",PKA!$B$1:$L$500,8,0)</f>
        <v>-79</v>
      </c>
      <c r="E29" s="90">
        <f>VLOOKUP("投資活動之現金流量",PKA!$B$1:$L$500,7,0)</f>
        <v>-112</v>
      </c>
      <c r="F29" s="90">
        <f>VLOOKUP("投資活動之現金流量",PKA!$B$1:$L$500,6,0)</f>
        <v>-122</v>
      </c>
      <c r="G29" s="90">
        <f>VLOOKUP("投資活動之現金流量",PKA!$B$1:$L$500,5,0)</f>
        <v>-69</v>
      </c>
      <c r="H29" s="90">
        <f>VLOOKUP("投資活動之現金流量",PKA!$B$1:$L$500,4,0)</f>
        <v>-78</v>
      </c>
      <c r="I29" s="90">
        <f>VLOOKUP("投資活動之現金流量",PKA!$B$1:$L$500,3,0)</f>
        <v>-302</v>
      </c>
      <c r="J29" s="90">
        <f>VLOOKUP("投資活動之現金流量",PKA!$B$1:$L$500,2,0)</f>
        <v>-262</v>
      </c>
      <c r="K29" s="90"/>
      <c r="L29" s="90"/>
    </row>
    <row r="30" spans="1:12">
      <c r="A30" s="90">
        <v>6285</v>
      </c>
      <c r="B30" s="90" t="s">
        <v>131</v>
      </c>
      <c r="C30" s="90">
        <f>VLOOKUP("投資活動之現金流量",PKB!$B$1:$L$500,9,0)</f>
        <v>-274</v>
      </c>
      <c r="D30" s="90">
        <f>VLOOKUP("投資活動之現金流量",PKB!$B$1:$L$500,8,0)</f>
        <v>-164</v>
      </c>
      <c r="E30" s="90">
        <f>VLOOKUP("投資活動之現金流量",PKB!$B$1:$L$500,7,0)</f>
        <v>755</v>
      </c>
      <c r="F30" s="90">
        <f>VLOOKUP("投資活動之現金流量",PKB!$B$1:$L$500,6,0)</f>
        <v>-156</v>
      </c>
      <c r="G30" s="90">
        <f>VLOOKUP("投資活動之現金流量",PKB!$B$1:$L$500,5,0)</f>
        <v>-448</v>
      </c>
      <c r="H30" s="90">
        <f>VLOOKUP("投資活動之現金流量",PKB!$B$1:$L$500,4,0)</f>
        <v>-9</v>
      </c>
      <c r="I30" s="90">
        <f>VLOOKUP("投資活動之現金流量",PKB!$B$1:$L$500,3,0)</f>
        <v>-432</v>
      </c>
      <c r="J30" s="90">
        <f>VLOOKUP("投資活動之現金流量",PKB!$B$1:$L$500,2,0)</f>
        <v>-343</v>
      </c>
      <c r="K30" s="90"/>
      <c r="L30" s="90"/>
    </row>
    <row r="31" spans="1:12">
      <c r="A31" s="90"/>
      <c r="B31" s="90" t="s">
        <v>131</v>
      </c>
      <c r="C31" s="90" t="e">
        <f>VLOOKUP("投資活動之現金流量",PKC!$B$1:$L$500,9,0)</f>
        <v>#N/A</v>
      </c>
      <c r="D31" s="90" t="e">
        <f>VLOOKUP("投資活動之現金流量",PKC!$B$1:$L$500,8,0)</f>
        <v>#N/A</v>
      </c>
      <c r="E31" s="90" t="e">
        <f>VLOOKUP("投資活動之現金流量",PKC!$B$1:$L$500,7,0)</f>
        <v>#N/A</v>
      </c>
      <c r="F31" s="90" t="e">
        <f>VLOOKUP("投資活動之現金流量",PKC!$B$1:$L$500,6,0)</f>
        <v>#N/A</v>
      </c>
      <c r="G31" s="90" t="e">
        <f>VLOOKUP("投資活動之現金流量",PKC!$B$1:$L$500,5,0)</f>
        <v>#N/A</v>
      </c>
      <c r="H31" s="90" t="e">
        <f>VLOOKUP("投資活動之現金流量",PKC!$B$1:$L$500,4,0)</f>
        <v>#N/A</v>
      </c>
      <c r="I31" s="90" t="e">
        <f>VLOOKUP("投資活動之現金流量",PKC!$B$1:$L$500,3,0)</f>
        <v>#N/A</v>
      </c>
      <c r="J31" s="90" t="e">
        <f>VLOOKUP("投資活動之現金流量",PKC!$B$1:$L$500,2,0)</f>
        <v>#N/A</v>
      </c>
      <c r="K31" s="90"/>
      <c r="L31" s="90"/>
    </row>
    <row r="32" spans="1:12">
      <c r="A32" s="86">
        <v>5388</v>
      </c>
      <c r="B32" s="86" t="s">
        <v>20</v>
      </c>
      <c r="C32" s="86">
        <f>VLOOKUP(" 固定資產(購置)",PKA!$B$1:$L$500,9,0)</f>
        <v>-67</v>
      </c>
      <c r="D32" s="86">
        <f>VLOOKUP(" 固定資產(購置)",PKA!$B$1:$L$500,8,0)</f>
        <v>-90</v>
      </c>
      <c r="E32" s="86">
        <f>VLOOKUP(" 固定資產(購置)",PKA!$B$1:$L$500,7,0)</f>
        <v>-116</v>
      </c>
      <c r="F32" s="86">
        <f>VLOOKUP(" 固定資產(購置)",PKA!$B$1:$L$500,6,0)</f>
        <v>-137</v>
      </c>
      <c r="G32" s="86">
        <f>VLOOKUP(" 固定資產(購置)",PKA!$B$1:$L$500,5,0)</f>
        <v>-135</v>
      </c>
      <c r="H32" s="86">
        <f>VLOOKUP(" 固定資產(購置)",PKA!$B$1:$L$500,4,0)</f>
        <v>-67</v>
      </c>
      <c r="I32" s="86">
        <f>VLOOKUP(" 固定資產(購置)",PKA!$B$1:$L$500,3,0)</f>
        <v>-229</v>
      </c>
      <c r="J32" s="86">
        <f>VLOOKUP(" 固定資產(購置)",PKA!$B$1:$L$500,2,0)</f>
        <v>-90</v>
      </c>
      <c r="K32" s="86"/>
      <c r="L32" s="86"/>
    </row>
    <row r="33" spans="1:12">
      <c r="A33" s="86">
        <v>6285</v>
      </c>
      <c r="B33" s="86" t="s">
        <v>20</v>
      </c>
      <c r="C33" s="86">
        <f>VLOOKUP(" 固定資產(購置)",PKB!$B$1:$L$500,9,0)</f>
        <v>-214</v>
      </c>
      <c r="D33" s="86">
        <f>VLOOKUP(" 固定資產(購置)",PKB!$B$1:$L$500,8,0)</f>
        <v>-215</v>
      </c>
      <c r="E33" s="86">
        <f>VLOOKUP(" 固定資產(購置)",PKB!$B$1:$L$500,7,0)</f>
        <v>-195</v>
      </c>
      <c r="F33" s="86">
        <f>VLOOKUP(" 固定資產(購置)",PKB!$B$1:$L$500,6,0)</f>
        <v>-361</v>
      </c>
      <c r="G33" s="86">
        <f>VLOOKUP(" 固定資產(購置)",PKB!$B$1:$L$500,5,0)</f>
        <v>-330</v>
      </c>
      <c r="H33" s="86">
        <f>VLOOKUP(" 固定資產(購置)",PKB!$B$1:$L$500,4,0)</f>
        <v>-258</v>
      </c>
      <c r="I33" s="86">
        <f>VLOOKUP(" 固定資產(購置)",PKB!$B$1:$L$500,3,0)</f>
        <v>-480</v>
      </c>
      <c r="J33" s="86">
        <f>VLOOKUP(" 固定資產(購置)",PKB!$B$1:$L$500,2,0)</f>
        <v>-565</v>
      </c>
      <c r="K33" s="86"/>
      <c r="L33" s="86"/>
    </row>
    <row r="34" spans="1:12">
      <c r="A34" s="86"/>
      <c r="B34" s="86" t="s">
        <v>20</v>
      </c>
      <c r="C34" s="86" t="e">
        <f>VLOOKUP(" 固定資產(購置)",PKC!$B$1:$L$500,9,0)</f>
        <v>#N/A</v>
      </c>
      <c r="D34" s="86" t="e">
        <f>VLOOKUP(" 固定資產(購置)",PKC!$B$1:$L$500,8,0)</f>
        <v>#N/A</v>
      </c>
      <c r="E34" s="86" t="e">
        <f>VLOOKUP(" 固定資產(購置)",PKC!$B$1:$L$500,7,0)</f>
        <v>#N/A</v>
      </c>
      <c r="F34" s="86" t="e">
        <f>VLOOKUP(" 固定資產(購置)",PKC!$B$1:$L$500,6,0)</f>
        <v>#N/A</v>
      </c>
      <c r="G34" s="86" t="e">
        <f>VLOOKUP(" 固定資產(購置)",PKC!$B$1:$L$500,5,0)</f>
        <v>#N/A</v>
      </c>
      <c r="H34" s="86" t="e">
        <f>VLOOKUP(" 固定資產(購置)",PKC!$B$1:$L$500,4,0)</f>
        <v>#N/A</v>
      </c>
      <c r="I34" s="86" t="e">
        <f>VLOOKUP(" 固定資產(購置)",PKC!$B$1:$L$500,3,0)</f>
        <v>#N/A</v>
      </c>
      <c r="J34" s="86" t="e">
        <f>VLOOKUP(" 固定資產(購置)",PKC!$B$1:$L$500,2,0)</f>
        <v>#N/A</v>
      </c>
      <c r="K34" s="86"/>
      <c r="L34" s="86"/>
    </row>
    <row r="35" spans="1:12">
      <c r="A35" s="87">
        <v>5388</v>
      </c>
      <c r="B35" s="87" t="s">
        <v>21</v>
      </c>
      <c r="C35" s="87">
        <f>VLOOKUP(" 長期投資(新增)",PKA!$B$1:$L$500,9,0)</f>
        <v>0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-24</v>
      </c>
      <c r="G35" s="87">
        <f>VLOOKUP(" 長期投資(新增)",PKA!$B$1:$L$500,5,0)</f>
        <v>24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6285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/>
      <c r="B37" s="87" t="s">
        <v>21</v>
      </c>
      <c r="C37" s="87" t="e">
        <f>VLOOKUP(" 長期投資(新增)",PKC!$B$1:$L$500,9,0)</f>
        <v>#N/A</v>
      </c>
      <c r="D37" s="87" t="e">
        <f>VLOOKUP(" 長期投資(新增)",PKC!$B$1:$L$500,8,0)</f>
        <v>#N/A</v>
      </c>
      <c r="E37" s="87" t="e">
        <f>VLOOKUP(" 長期投資(新增)",PKC!$B$1:$L$500,7,0)</f>
        <v>#N/A</v>
      </c>
      <c r="F37" s="87" t="e">
        <f>VLOOKUP(" 長期投資(新增)",PKC!$B$1:$L$500,6,0)</f>
        <v>#N/A</v>
      </c>
      <c r="G37" s="87" t="e">
        <f>VLOOKUP(" 長期投資(新增)",PKC!$B$1:$L$500,5,0)</f>
        <v>#N/A</v>
      </c>
      <c r="H37" s="87" t="e">
        <f>VLOOKUP(" 長期投資(新增)",PKC!$B$1:$L$500,4,0)</f>
        <v>#N/A</v>
      </c>
      <c r="I37" s="87" t="e">
        <f>VLOOKUP(" 長期投資(新增)",PKC!$B$1:$L$500,3,0)</f>
        <v>#N/A</v>
      </c>
      <c r="J37" s="87" t="e">
        <f>VLOOKUP(" 長期投資(新增)",PKC!$B$1:$L$500,2,0)</f>
        <v>#N/A</v>
      </c>
      <c r="K37" s="87"/>
      <c r="L37" s="87"/>
    </row>
    <row r="38" spans="1:12">
      <c r="A38" s="88">
        <v>5388</v>
      </c>
      <c r="B38" s="88" t="s">
        <v>114</v>
      </c>
      <c r="C38" s="88">
        <f>VLOOKUP(" 折舊",PKA!$B$1:$L$500,9,0)</f>
        <v>78</v>
      </c>
      <c r="D38" s="88">
        <f>VLOOKUP(" 折舊",PKA!$B$1:$L$500,8,0)</f>
        <v>82</v>
      </c>
      <c r="E38" s="88">
        <f>VLOOKUP(" 折舊",PKA!$B$1:$L$500,7,0)</f>
        <v>85</v>
      </c>
      <c r="F38" s="88">
        <f>VLOOKUP(" 折舊",PKA!$B$1:$L$500,6,0)</f>
        <v>89</v>
      </c>
      <c r="G38" s="88">
        <f>VLOOKUP(" 折舊",PKA!$B$1:$L$500,5,0)</f>
        <v>92</v>
      </c>
      <c r="H38" s="88">
        <f>VLOOKUP(" 折舊",PKA!$B$1:$L$500,4,0)</f>
        <v>103</v>
      </c>
      <c r="I38" s="88">
        <f>VLOOKUP(" 折舊",PKA!$B$1:$L$500,3,0)</f>
        <v>105</v>
      </c>
      <c r="J38" s="88">
        <f>VLOOKUP(" 折舊",PKA!$B$1:$L$500,2,0)</f>
        <v>113</v>
      </c>
      <c r="K38" s="88"/>
      <c r="L38" s="88"/>
    </row>
    <row r="39" spans="1:12">
      <c r="A39" s="88">
        <v>6285</v>
      </c>
      <c r="B39" s="88" t="s">
        <v>114</v>
      </c>
      <c r="C39" s="88">
        <f>VLOOKUP(" 折舊",PKB!$B$1:$L$500,9,0)</f>
        <v>221</v>
      </c>
      <c r="D39" s="88">
        <f>VLOOKUP(" 折舊",PKB!$B$1:$L$500,8,0)</f>
        <v>224</v>
      </c>
      <c r="E39" s="88">
        <f>VLOOKUP(" 折舊",PKB!$B$1:$L$500,7,0)</f>
        <v>222</v>
      </c>
      <c r="F39" s="88">
        <f>VLOOKUP(" 折舊",PKB!$B$1:$L$500,6,0)</f>
        <v>231</v>
      </c>
      <c r="G39" s="88">
        <f>VLOOKUP(" 折舊",PKB!$B$1:$L$500,5,0)</f>
        <v>243</v>
      </c>
      <c r="H39" s="88">
        <f>VLOOKUP(" 折舊",PKB!$B$1:$L$500,4,0)</f>
        <v>257</v>
      </c>
      <c r="I39" s="88">
        <f>VLOOKUP(" 折舊",PKB!$B$1:$L$500,3,0)</f>
        <v>265</v>
      </c>
      <c r="J39" s="88">
        <f>VLOOKUP(" 折舊",PKB!$B$1:$L$500,2,0)</f>
        <v>280</v>
      </c>
      <c r="K39" s="88"/>
      <c r="L39" s="88"/>
    </row>
    <row r="40" spans="1:12">
      <c r="A40" s="88"/>
      <c r="B40" s="88" t="s">
        <v>114</v>
      </c>
      <c r="C40" s="88" t="e">
        <f>VLOOKUP(" 折舊",PKC!$B$1:$L$500,9,0)</f>
        <v>#N/A</v>
      </c>
      <c r="D40" s="88" t="e">
        <f>VLOOKUP(" 折舊",PKC!$B$1:$L$500,8,0)</f>
        <v>#N/A</v>
      </c>
      <c r="E40" s="88" t="e">
        <f>VLOOKUP(" 折舊",PKC!$B$1:$L$500,7,0)</f>
        <v>#N/A</v>
      </c>
      <c r="F40" s="88" t="e">
        <f>VLOOKUP(" 折舊",PKC!$B$1:$L$500,6,0)</f>
        <v>#N/A</v>
      </c>
      <c r="G40" s="88" t="e">
        <f>VLOOKUP(" 折舊",PKC!$B$1:$L$500,5,0)</f>
        <v>#N/A</v>
      </c>
      <c r="H40" s="88" t="e">
        <f>VLOOKUP(" 折舊",PKC!$B$1:$L$500,4,0)</f>
        <v>#N/A</v>
      </c>
      <c r="I40" s="88" t="e">
        <f>VLOOKUP(" 折舊",PKC!$B$1:$L$500,3,0)</f>
        <v>#N/A</v>
      </c>
      <c r="J40" s="88" t="e">
        <f>VLOOKUP(" 折舊",PKC!$B$1:$L$500,2,0)</f>
        <v>#N/A</v>
      </c>
      <c r="K40" s="88"/>
      <c r="L40" s="88"/>
    </row>
    <row r="41" spans="1:12">
      <c r="A41" s="89">
        <v>5388</v>
      </c>
      <c r="B41" s="89" t="s">
        <v>211</v>
      </c>
      <c r="C41" s="89">
        <f>VLOOKUP("營業費用",PKA!$B$1:$L$500,9,0)</f>
        <v>590</v>
      </c>
      <c r="D41" s="89">
        <f>VLOOKUP("營業費用",PKA!$B$1:$L$500,8,0)</f>
        <v>557</v>
      </c>
      <c r="E41" s="89">
        <f>VLOOKUP("營業費用",PKA!$B$1:$L$500,7,0)</f>
        <v>662</v>
      </c>
      <c r="F41" s="89">
        <f>VLOOKUP("營業費用",PKA!$B$1:$L$500,6,0)</f>
        <v>611</v>
      </c>
      <c r="G41" s="89">
        <f>VLOOKUP("營業費用",PKA!$B$1:$L$500,5,0)</f>
        <v>644</v>
      </c>
      <c r="H41" s="89">
        <f>VLOOKUP("營業費用",PKA!$B$1:$L$500,4,0)</f>
        <v>677</v>
      </c>
      <c r="I41" s="89">
        <f>VLOOKUP("營業費用",PKA!$B$1:$L$500,3,0)</f>
        <v>764</v>
      </c>
      <c r="J41" s="89">
        <f>VLOOKUP("營業費用",PKA!$B$1:$L$500,2,0)</f>
        <v>929</v>
      </c>
      <c r="K41" s="89"/>
      <c r="L41" s="89"/>
    </row>
    <row r="42" spans="1:12">
      <c r="A42" s="89">
        <v>6285</v>
      </c>
      <c r="B42" s="89" t="s">
        <v>211</v>
      </c>
      <c r="C42" s="89">
        <f>VLOOKUP("營業費用",PKB!$B$1:$L$500,9,0)</f>
        <v>883</v>
      </c>
      <c r="D42" s="89">
        <f>VLOOKUP("營業費用",PKB!$B$1:$L$500,8,0)</f>
        <v>737</v>
      </c>
      <c r="E42" s="89">
        <f>VLOOKUP("營業費用",PKB!$B$1:$L$500,7,0)</f>
        <v>953</v>
      </c>
      <c r="F42" s="89">
        <f>VLOOKUP("營業費用",PKB!$B$1:$L$500,6,0)</f>
        <v>958</v>
      </c>
      <c r="G42" s="89">
        <f>VLOOKUP("營業費用",PKB!$B$1:$L$500,5,0)</f>
        <v>1064</v>
      </c>
      <c r="H42" s="89">
        <f>VLOOKUP("營業費用",PKB!$B$1:$L$500,4,0)</f>
        <v>1034</v>
      </c>
      <c r="I42" s="89">
        <f>VLOOKUP("營業費用",PKB!$B$1:$L$500,3,0)</f>
        <v>1114</v>
      </c>
      <c r="J42" s="89">
        <f>VLOOKUP("營業費用",PKB!$B$1:$L$500,2,0)</f>
        <v>1215</v>
      </c>
      <c r="K42" s="89"/>
      <c r="L42" s="89"/>
    </row>
    <row r="43" spans="1:12">
      <c r="A43" s="89"/>
      <c r="B43" s="89" t="s">
        <v>211</v>
      </c>
      <c r="C43" s="89" t="e">
        <f>VLOOKUP("營業費用",PKC!$B$1:$L$500,9,0)</f>
        <v>#N/A</v>
      </c>
      <c r="D43" s="89" t="e">
        <f>VLOOKUP("營業費用",PKC!$B$1:$L$500,8,0)</f>
        <v>#N/A</v>
      </c>
      <c r="E43" s="89" t="e">
        <f>VLOOKUP("營業費用",PKC!$B$1:$L$500,7,0)</f>
        <v>#N/A</v>
      </c>
      <c r="F43" s="89" t="e">
        <f>VLOOKUP("營業費用",PKC!$B$1:$L$500,6,0)</f>
        <v>#N/A</v>
      </c>
      <c r="G43" s="89" t="e">
        <f>VLOOKUP("營業費用",PKC!$B$1:$L$500,5,0)</f>
        <v>#N/A</v>
      </c>
      <c r="H43" s="89" t="e">
        <f>VLOOKUP("營業費用",PKC!$B$1:$L$500,4,0)</f>
        <v>#N/A</v>
      </c>
      <c r="I43" s="89" t="e">
        <f>VLOOKUP("營業費用",PKC!$B$1:$L$500,3,0)</f>
        <v>#N/A</v>
      </c>
      <c r="J43" s="89" t="e">
        <f>VLOOKUP("營業費用",PKC!$B$1:$L$500,2,0)</f>
        <v>#N/A</v>
      </c>
      <c r="K43" s="89"/>
      <c r="L43" s="89"/>
    </row>
    <row r="44" spans="1:12">
      <c r="A44" s="91">
        <v>5388</v>
      </c>
      <c r="B44" s="91" t="s">
        <v>541</v>
      </c>
      <c r="C44" s="91">
        <f>VLOOKUP(" 普通股股本",PKA!$B$1:$L$500,9,0)</f>
        <v>2052</v>
      </c>
      <c r="D44" s="91">
        <f>VLOOKUP(" 普通股股本",PKA!$B$1:$L$500,8,0)</f>
        <v>2177</v>
      </c>
      <c r="E44" s="91">
        <f>VLOOKUP(" 普通股股本",PKA!$B$1:$L$500,7,0)</f>
        <v>2258</v>
      </c>
      <c r="F44" s="91">
        <f>VLOOKUP(" 普通股股本",PKA!$B$1:$L$500,6,0)</f>
        <v>2260</v>
      </c>
      <c r="G44" s="91">
        <f>VLOOKUP(" 普通股股本",PKA!$B$1:$L$500,5,0)</f>
        <v>2292</v>
      </c>
      <c r="H44" s="91">
        <f>VLOOKUP(" 普通股股本",PKA!$B$1:$L$500,4,0)</f>
        <v>2301</v>
      </c>
      <c r="I44" s="91">
        <f>VLOOKUP(" 普通股股本",PKA!$B$1:$L$500,3,0)</f>
        <v>2310</v>
      </c>
      <c r="J44" s="91">
        <f>VLOOKUP(" 普通股股本",PKA!$B$1:$L$500,2,0)</f>
        <v>2409</v>
      </c>
      <c r="K44" s="91"/>
      <c r="L44" s="91"/>
    </row>
    <row r="45" spans="1:12">
      <c r="A45" s="91">
        <v>6285</v>
      </c>
      <c r="B45" s="91" t="s">
        <v>541</v>
      </c>
      <c r="C45" s="91">
        <f>VLOOKUP(" 普通股股本",PKB!$B$1:$L$500,9,0)</f>
        <v>3213</v>
      </c>
      <c r="D45" s="91">
        <f>VLOOKUP(" 普通股股本",PKB!$B$1:$L$500,8,0)</f>
        <v>3216</v>
      </c>
      <c r="E45" s="91">
        <f>VLOOKUP(" 普通股股本",PKB!$B$1:$L$500,7,0)</f>
        <v>3218</v>
      </c>
      <c r="F45" s="91">
        <f>VLOOKUP(" 普通股股本",PKB!$B$1:$L$500,6,0)</f>
        <v>3286</v>
      </c>
      <c r="G45" s="91">
        <f>VLOOKUP(" 普通股股本",PKB!$B$1:$L$500,5,0)</f>
        <v>3288</v>
      </c>
      <c r="H45" s="91">
        <f>VLOOKUP(" 普通股股本",PKB!$B$1:$L$500,4,0)</f>
        <v>3288</v>
      </c>
      <c r="I45" s="91">
        <f>VLOOKUP(" 普通股股本",PKB!$B$1:$L$500,3,0)</f>
        <v>3288</v>
      </c>
      <c r="J45" s="91">
        <f>VLOOKUP(" 普通股股本",PKB!$B$1:$L$500,2,0)</f>
        <v>3353</v>
      </c>
      <c r="K45" s="91"/>
      <c r="L45" s="91"/>
    </row>
    <row r="46" spans="1:12">
      <c r="A46" s="91"/>
      <c r="B46" s="91" t="s">
        <v>541</v>
      </c>
      <c r="C46" s="91" t="e">
        <f>VLOOKUP(" 普通股股本",PKC!$B$1:$L$500,9,0)</f>
        <v>#N/A</v>
      </c>
      <c r="D46" s="91" t="e">
        <f>VLOOKUP(" 普通股股本",PKC!$B$1:$L$500,8,0)</f>
        <v>#N/A</v>
      </c>
      <c r="E46" s="91" t="e">
        <f>VLOOKUP(" 普通股股本",PKC!$B$1:$L$500,7,0)</f>
        <v>#N/A</v>
      </c>
      <c r="F46" s="91" t="e">
        <f>VLOOKUP(" 普通股股本",PKC!$B$1:$L$500,6,0)</f>
        <v>#N/A</v>
      </c>
      <c r="G46" s="91" t="e">
        <f>VLOOKUP(" 普通股股本",PKC!$B$1:$L$500,5,0)</f>
        <v>#N/A</v>
      </c>
      <c r="H46" s="91" t="e">
        <f>VLOOKUP(" 普通股股本",PKC!$B$1:$L$500,4,0)</f>
        <v>#N/A</v>
      </c>
      <c r="I46" s="91" t="e">
        <f>VLOOKUP(" 普通股股本",PKC!$B$1:$L$500,3,0)</f>
        <v>#N/A</v>
      </c>
      <c r="J46" s="91" t="e">
        <f>VLOOKUP(" 普通股股本",PKC!$B$1:$L$500,2,0)</f>
        <v>#N/A</v>
      </c>
      <c r="K46" s="91"/>
      <c r="L46" s="91"/>
    </row>
    <row r="47" spans="1:12">
      <c r="A47" s="90">
        <v>5388</v>
      </c>
      <c r="B47" s="90" t="s">
        <v>25</v>
      </c>
      <c r="C47" s="92">
        <f>IF(ISNUMBER((C2-C5)/C2),(C2-C5)/C2,0)</f>
        <v>0.17930029154518951</v>
      </c>
      <c r="D47" s="92">
        <f t="shared" ref="D47:J47" si="0">IF(ISNUMBER((D2-D5)/D2),(D2-D5)/D2,0)</f>
        <v>0.16934275315778205</v>
      </c>
      <c r="E47" s="92">
        <f t="shared" si="0"/>
        <v>0.16425842883241987</v>
      </c>
      <c r="F47" s="92">
        <f t="shared" si="0"/>
        <v>0.15047990889864976</v>
      </c>
      <c r="G47" s="92">
        <f t="shared" si="0"/>
        <v>0.14966949952785646</v>
      </c>
      <c r="H47" s="92">
        <f t="shared" si="0"/>
        <v>0.13612730423822278</v>
      </c>
      <c r="I47" s="92">
        <f t="shared" si="0"/>
        <v>0.13232889511796309</v>
      </c>
      <c r="J47" s="92">
        <f t="shared" si="0"/>
        <v>0.14911185789726356</v>
      </c>
      <c r="K47" s="90">
        <f>MIN(C47:J49)</f>
        <v>0</v>
      </c>
      <c r="L47" s="90">
        <f>MAX(C47:J49)</f>
        <v>0.17930029154518951</v>
      </c>
    </row>
    <row r="48" spans="1:12">
      <c r="A48" s="90">
        <v>6285</v>
      </c>
      <c r="B48" s="90" t="s">
        <v>25</v>
      </c>
      <c r="C48" s="92">
        <f>IF(ISNUMBER((C3-C6)/C3),(C3-C6)/C3,0)</f>
        <v>0.13644659151905528</v>
      </c>
      <c r="D48" s="92">
        <f t="shared" ref="D48:J49" si="1">IF(ISNUMBER((D3-D6)/D3),(D3-D6)/D3,0)</f>
        <v>0.12644517463794572</v>
      </c>
      <c r="E48" s="92">
        <f t="shared" si="1"/>
        <v>0.14005798260521843</v>
      </c>
      <c r="F48" s="92">
        <f t="shared" si="1"/>
        <v>0.13197454578991055</v>
      </c>
      <c r="G48" s="92">
        <f t="shared" si="1"/>
        <v>0.13751775568181818</v>
      </c>
      <c r="H48" s="92">
        <f t="shared" si="1"/>
        <v>0.14063585823488534</v>
      </c>
      <c r="I48" s="92">
        <f t="shared" si="1"/>
        <v>0.12432475373371465</v>
      </c>
      <c r="J48" s="92">
        <f t="shared" si="1"/>
        <v>0.13463080399446023</v>
      </c>
      <c r="K48" s="90"/>
      <c r="L48" s="90"/>
    </row>
    <row r="49" spans="1:12">
      <c r="A49" s="90"/>
      <c r="B49" s="90" t="s">
        <v>25</v>
      </c>
      <c r="C49" s="92">
        <f>IF(ISNUMBER((C4-C7)/C4),(C4-C7)/C4,0)</f>
        <v>0</v>
      </c>
      <c r="D49" s="92">
        <f t="shared" si="1"/>
        <v>0</v>
      </c>
      <c r="E49" s="92">
        <f t="shared" si="1"/>
        <v>0</v>
      </c>
      <c r="F49" s="92">
        <f t="shared" si="1"/>
        <v>0</v>
      </c>
      <c r="G49" s="92">
        <f t="shared" si="1"/>
        <v>0</v>
      </c>
      <c r="H49" s="92">
        <f t="shared" si="1"/>
        <v>0</v>
      </c>
      <c r="I49" s="92">
        <f t="shared" si="1"/>
        <v>0</v>
      </c>
      <c r="J49" s="92">
        <f t="shared" si="1"/>
        <v>0</v>
      </c>
      <c r="K49" s="90"/>
      <c r="L49" s="90"/>
    </row>
    <row r="50" spans="1:12">
      <c r="A50" s="86">
        <v>5388</v>
      </c>
      <c r="B50" s="86" t="s">
        <v>212</v>
      </c>
      <c r="C50" s="93">
        <f t="shared" ref="C50:C55" si="2">D50</f>
        <v>56.252274673517448</v>
      </c>
      <c r="D50" s="93">
        <f t="shared" ref="D50:D55" si="3">IF(ISNUMBER(365/(D2*4/((C14+D14)/2))),365/(D2*4/((C14+D14)/2)),0)</f>
        <v>56.252274673517448</v>
      </c>
      <c r="E50" s="93">
        <f t="shared" ref="E50:J50" si="4">IF(ISNUMBER(365/(E2*4/((D14+E14)/2))),365/(E2*4/((D14+E14)/2)),0)</f>
        <v>50.118543431323701</v>
      </c>
      <c r="F50" s="93">
        <f t="shared" si="4"/>
        <v>54.309114202049784</v>
      </c>
      <c r="G50" s="93">
        <f t="shared" si="4"/>
        <v>59.224897702234813</v>
      </c>
      <c r="H50" s="93">
        <f t="shared" si="4"/>
        <v>68.30451394359541</v>
      </c>
      <c r="I50" s="93">
        <f t="shared" si="4"/>
        <v>63.119379233823871</v>
      </c>
      <c r="J50" s="93">
        <f t="shared" si="4"/>
        <v>59.906084973595775</v>
      </c>
      <c r="K50" s="86">
        <f>MIN(C50:J52)</f>
        <v>0</v>
      </c>
      <c r="L50" s="86">
        <f>MAX(C50:J52)</f>
        <v>68.30451394359541</v>
      </c>
    </row>
    <row r="51" spans="1:12">
      <c r="A51" s="86">
        <v>6285</v>
      </c>
      <c r="B51" s="86" t="s">
        <v>212</v>
      </c>
      <c r="C51" s="93">
        <f t="shared" si="2"/>
        <v>61.116511500547645</v>
      </c>
      <c r="D51" s="93">
        <f t="shared" si="3"/>
        <v>61.116511500547645</v>
      </c>
      <c r="E51" s="93">
        <f t="shared" ref="E51:J55" si="5">IF(ISNUMBER(365/(E3*4/((D15+E15)/2))),365/(E3*4/((D15+E15)/2)),0)</f>
        <v>57.333424972508247</v>
      </c>
      <c r="F51" s="93">
        <f t="shared" si="5"/>
        <v>62.19525269759292</v>
      </c>
      <c r="G51" s="93">
        <f t="shared" si="5"/>
        <v>61.563776189630687</v>
      </c>
      <c r="H51" s="93">
        <f t="shared" si="5"/>
        <v>59.567733669214732</v>
      </c>
      <c r="I51" s="93">
        <f t="shared" si="5"/>
        <v>58.118595090562437</v>
      </c>
      <c r="J51" s="93">
        <f t="shared" si="5"/>
        <v>59.835629419053866</v>
      </c>
      <c r="K51" s="86"/>
      <c r="L51" s="86">
        <f>AVERAGE(F51:J51)</f>
        <v>60.256197413210927</v>
      </c>
    </row>
    <row r="52" spans="1:12">
      <c r="A52" s="86"/>
      <c r="B52" s="86" t="s">
        <v>212</v>
      </c>
      <c r="C52" s="93">
        <f t="shared" si="2"/>
        <v>0</v>
      </c>
      <c r="D52" s="93">
        <f t="shared" si="3"/>
        <v>0</v>
      </c>
      <c r="E52" s="93">
        <f t="shared" si="5"/>
        <v>0</v>
      </c>
      <c r="F52" s="93">
        <f t="shared" si="5"/>
        <v>0</v>
      </c>
      <c r="G52" s="93">
        <f t="shared" si="5"/>
        <v>0</v>
      </c>
      <c r="H52" s="93">
        <f t="shared" si="5"/>
        <v>0</v>
      </c>
      <c r="I52" s="93">
        <f t="shared" si="5"/>
        <v>0</v>
      </c>
      <c r="J52" s="93">
        <f t="shared" si="5"/>
        <v>0</v>
      </c>
      <c r="K52" s="86"/>
      <c r="L52" s="86">
        <f>AVERAGE(F52:J52)</f>
        <v>0</v>
      </c>
    </row>
    <row r="53" spans="1:12">
      <c r="A53" s="87">
        <v>5388</v>
      </c>
      <c r="B53" s="87" t="s">
        <v>213</v>
      </c>
      <c r="C53" s="94">
        <f t="shared" si="2"/>
        <v>67.567332474226802</v>
      </c>
      <c r="D53" s="94">
        <f t="shared" si="3"/>
        <v>67.567332474226802</v>
      </c>
      <c r="E53" s="94">
        <f t="shared" si="5"/>
        <v>58.028616852146264</v>
      </c>
      <c r="F53" s="94">
        <f t="shared" si="5"/>
        <v>57.489946380697056</v>
      </c>
      <c r="G53" s="94">
        <f t="shared" si="5"/>
        <v>58.443573014991671</v>
      </c>
      <c r="H53" s="94">
        <f t="shared" si="5"/>
        <v>64.921803757067295</v>
      </c>
      <c r="I53" s="94">
        <f t="shared" si="5"/>
        <v>57.306080899178895</v>
      </c>
      <c r="J53" s="94">
        <f t="shared" si="5"/>
        <v>55.257630895960276</v>
      </c>
      <c r="K53" s="87">
        <f>MIN(C53:J55)</f>
        <v>0</v>
      </c>
      <c r="L53" s="87">
        <f>MAX(C53:J55)</f>
        <v>67.567332474226802</v>
      </c>
    </row>
    <row r="54" spans="1:12">
      <c r="A54" s="87">
        <v>6285</v>
      </c>
      <c r="B54" s="87" t="s">
        <v>213</v>
      </c>
      <c r="C54" s="94">
        <f t="shared" si="2"/>
        <v>37.692428252995263</v>
      </c>
      <c r="D54" s="94">
        <f t="shared" si="3"/>
        <v>37.692428252995263</v>
      </c>
      <c r="E54" s="94">
        <f t="shared" si="5"/>
        <v>30.025938735177867</v>
      </c>
      <c r="F54" s="94">
        <f t="shared" si="5"/>
        <v>32.366991606459841</v>
      </c>
      <c r="G54" s="94">
        <f t="shared" si="5"/>
        <v>38.862261966031909</v>
      </c>
      <c r="H54" s="94">
        <f t="shared" si="5"/>
        <v>45.708013241686047</v>
      </c>
      <c r="I54" s="94">
        <f t="shared" si="5"/>
        <v>41.69701986754967</v>
      </c>
      <c r="J54" s="94">
        <f t="shared" si="5"/>
        <v>42.350699123989216</v>
      </c>
      <c r="K54" s="87"/>
      <c r="L54" s="87">
        <f>AVERAGE(F54:J54)</f>
        <v>40.196997161143337</v>
      </c>
    </row>
    <row r="55" spans="1:12">
      <c r="A55" s="87"/>
      <c r="B55" s="87" t="s">
        <v>213</v>
      </c>
      <c r="C55" s="94">
        <f t="shared" si="2"/>
        <v>0</v>
      </c>
      <c r="D55" s="94">
        <f t="shared" si="3"/>
        <v>0</v>
      </c>
      <c r="E55" s="94">
        <f t="shared" si="5"/>
        <v>0</v>
      </c>
      <c r="F55" s="94">
        <f t="shared" si="5"/>
        <v>0</v>
      </c>
      <c r="G55" s="94">
        <f t="shared" si="5"/>
        <v>0</v>
      </c>
      <c r="H55" s="94">
        <f t="shared" si="5"/>
        <v>0</v>
      </c>
      <c r="I55" s="94">
        <f t="shared" si="5"/>
        <v>0</v>
      </c>
      <c r="J55" s="94">
        <f t="shared" si="5"/>
        <v>0</v>
      </c>
      <c r="K55" s="87"/>
      <c r="L55" s="87">
        <f>AVERAGE(F55:J55)</f>
        <v>0</v>
      </c>
    </row>
    <row r="56" spans="1:12">
      <c r="A56" s="88">
        <v>5388</v>
      </c>
      <c r="B56" s="88" t="s">
        <v>214</v>
      </c>
      <c r="C56" s="95">
        <f t="shared" ref="C56:J56" si="6">C20/C23</f>
        <v>0.64697976554916747</v>
      </c>
      <c r="D56" s="95">
        <f t="shared" si="6"/>
        <v>0.62009037191518945</v>
      </c>
      <c r="E56" s="95">
        <f t="shared" si="6"/>
        <v>0.68063088336138644</v>
      </c>
      <c r="F56" s="95">
        <f t="shared" si="6"/>
        <v>0.65763351805614767</v>
      </c>
      <c r="G56" s="95">
        <f t="shared" si="6"/>
        <v>0.66316433177674006</v>
      </c>
      <c r="H56" s="95">
        <f t="shared" si="6"/>
        <v>0.6661674327325311</v>
      </c>
      <c r="I56" s="95">
        <f t="shared" si="6"/>
        <v>0.73701182371909713</v>
      </c>
      <c r="J56" s="95">
        <f t="shared" si="6"/>
        <v>0.71701938917754404</v>
      </c>
      <c r="K56" s="88">
        <f>MIN(C56:J58)</f>
        <v>0</v>
      </c>
      <c r="L56" s="88">
        <f>MAX(C56:J58)</f>
        <v>0.73701182371909713</v>
      </c>
    </row>
    <row r="57" spans="1:12">
      <c r="A57" s="88">
        <v>6285</v>
      </c>
      <c r="B57" s="88" t="s">
        <v>214</v>
      </c>
      <c r="C57" s="95">
        <f>IF(ISNUMBER(C21/C24),C21/C24,0)</f>
        <v>0.52752581948810062</v>
      </c>
      <c r="D57" s="95">
        <f t="shared" ref="D57:J57" si="7">D21/D24</f>
        <v>0.51238698010849915</v>
      </c>
      <c r="E57" s="95">
        <f t="shared" si="7"/>
        <v>0.53238894237381373</v>
      </c>
      <c r="F57" s="95">
        <f t="shared" si="7"/>
        <v>0.52809237303132184</v>
      </c>
      <c r="G57" s="95">
        <f t="shared" si="7"/>
        <v>0.52851567417852197</v>
      </c>
      <c r="H57" s="95">
        <f t="shared" si="7"/>
        <v>0.52553736134248918</v>
      </c>
      <c r="I57" s="95">
        <f t="shared" si="7"/>
        <v>0.54716751762703619</v>
      </c>
      <c r="J57" s="95">
        <f t="shared" si="7"/>
        <v>0.56805820696610598</v>
      </c>
      <c r="K57" s="88"/>
      <c r="L57" s="88"/>
    </row>
    <row r="58" spans="1:12">
      <c r="A58" s="88"/>
      <c r="B58" s="88" t="s">
        <v>214</v>
      </c>
      <c r="C58" s="95">
        <f>IF(ISNUMBER(C22/C25),C22/C25,0)</f>
        <v>0</v>
      </c>
      <c r="D58" s="95">
        <f t="shared" ref="D58:J58" si="8">IF(ISNUMBER(D22/D25),D22/D25,0)</f>
        <v>0</v>
      </c>
      <c r="E58" s="95">
        <f t="shared" si="8"/>
        <v>0</v>
      </c>
      <c r="F58" s="95">
        <f t="shared" si="8"/>
        <v>0</v>
      </c>
      <c r="G58" s="95">
        <f t="shared" si="8"/>
        <v>0</v>
      </c>
      <c r="H58" s="95">
        <f t="shared" si="8"/>
        <v>0</v>
      </c>
      <c r="I58" s="95">
        <f t="shared" si="8"/>
        <v>0</v>
      </c>
      <c r="J58" s="95">
        <f t="shared" si="8"/>
        <v>0</v>
      </c>
      <c r="K58" s="88"/>
      <c r="L58" s="88"/>
    </row>
    <row r="59" spans="1:12">
      <c r="A59" s="89">
        <v>5388</v>
      </c>
      <c r="B59" s="89" t="s">
        <v>215</v>
      </c>
      <c r="C59" s="96">
        <f>IF(C8&gt;0,IF(C26&gt;C8,IF(ISNUMBER(C26/C8),C26/C8,0),0),0)</f>
        <v>0</v>
      </c>
      <c r="D59" s="96">
        <f t="shared" ref="D59:J59" si="9">IF(D8&gt;0,IF(D26&gt;D8,IF(ISNUMBER(D26/D8),D26/D8,0),0),0)</f>
        <v>0</v>
      </c>
      <c r="E59" s="96">
        <f t="shared" si="9"/>
        <v>1.9963235294117647</v>
      </c>
      <c r="F59" s="96">
        <f t="shared" si="9"/>
        <v>2.2008368200836821</v>
      </c>
      <c r="G59" s="96">
        <f t="shared" si="9"/>
        <v>0</v>
      </c>
      <c r="H59" s="96">
        <f t="shared" si="9"/>
        <v>0</v>
      </c>
      <c r="I59" s="96">
        <f t="shared" si="9"/>
        <v>0</v>
      </c>
      <c r="J59" s="96">
        <f t="shared" si="9"/>
        <v>3.5475113122171944</v>
      </c>
      <c r="K59" s="89"/>
      <c r="L59" s="89">
        <f>AVERAGE(F59:J59)</f>
        <v>1.1496696264601751</v>
      </c>
    </row>
    <row r="60" spans="1:12">
      <c r="A60" s="89">
        <v>6285</v>
      </c>
      <c r="B60" s="89" t="s">
        <v>215</v>
      </c>
      <c r="C60" s="96">
        <f>IF(C9&gt;0,IF(C27&gt;C9,IF(ISNUMBER(C27/C9),C27/C9,0),0),0)</f>
        <v>3.5436893203883497</v>
      </c>
      <c r="D60" s="96">
        <f t="shared" ref="D60:J61" si="10">IF(D9&gt;0,IF(D27&gt;D9,IF(ISNUMBER(D27/D9),D27/D9,0),0),0)</f>
        <v>0</v>
      </c>
      <c r="E60" s="96">
        <f t="shared" si="10"/>
        <v>1.0188679245283019</v>
      </c>
      <c r="F60" s="96">
        <f t="shared" si="10"/>
        <v>0</v>
      </c>
      <c r="G60" s="96">
        <f t="shared" si="10"/>
        <v>2.0452261306532664</v>
      </c>
      <c r="H60" s="96">
        <f t="shared" si="10"/>
        <v>0</v>
      </c>
      <c r="I60" s="96">
        <f t="shared" si="10"/>
        <v>0</v>
      </c>
      <c r="J60" s="96">
        <f t="shared" si="10"/>
        <v>1.9950413223140495</v>
      </c>
      <c r="K60" s="89"/>
      <c r="L60" s="89"/>
    </row>
    <row r="61" spans="1:12">
      <c r="A61" s="89"/>
      <c r="B61" s="89" t="s">
        <v>215</v>
      </c>
      <c r="C61" s="96" t="e">
        <f>IF(C10&gt;0,IF(C28&gt;C10,IF(ISNUMBER(C28/C10),C28/C10,0),0),0)</f>
        <v>#N/A</v>
      </c>
      <c r="D61" s="96" t="e">
        <f t="shared" si="10"/>
        <v>#N/A</v>
      </c>
      <c r="E61" s="96" t="e">
        <f t="shared" si="10"/>
        <v>#N/A</v>
      </c>
      <c r="F61" s="96" t="e">
        <f t="shared" si="10"/>
        <v>#N/A</v>
      </c>
      <c r="G61" s="96" t="e">
        <f t="shared" si="10"/>
        <v>#N/A</v>
      </c>
      <c r="H61" s="96" t="e">
        <f t="shared" si="10"/>
        <v>#N/A</v>
      </c>
      <c r="I61" s="96" t="e">
        <f t="shared" si="10"/>
        <v>#N/A</v>
      </c>
      <c r="J61" s="96" t="e">
        <f t="shared" si="10"/>
        <v>#N/A</v>
      </c>
      <c r="K61" s="89"/>
      <c r="L61" s="89"/>
    </row>
    <row r="62" spans="1:12">
      <c r="A62" s="90">
        <v>5388</v>
      </c>
      <c r="B62" s="90" t="s">
        <v>216</v>
      </c>
      <c r="C62" s="97">
        <f>C38/C5</f>
        <v>1.9791930981984267E-2</v>
      </c>
      <c r="D62" s="97">
        <f t="shared" ref="D62:J62" si="11">D38/D5</f>
        <v>2.1134020618556702E-2</v>
      </c>
      <c r="E62" s="97">
        <f t="shared" si="11"/>
        <v>1.6891891891891893E-2</v>
      </c>
      <c r="F62" s="97">
        <f t="shared" si="11"/>
        <v>1.7043278437380315E-2</v>
      </c>
      <c r="G62" s="97">
        <f t="shared" si="11"/>
        <v>1.7027577271885988E-2</v>
      </c>
      <c r="H62" s="97">
        <f t="shared" si="11"/>
        <v>1.8785336494619734E-2</v>
      </c>
      <c r="I62" s="97">
        <f t="shared" si="11"/>
        <v>1.4133799973078476E-2</v>
      </c>
      <c r="J62" s="97">
        <f t="shared" si="11"/>
        <v>1.2751071992778154E-2</v>
      </c>
      <c r="K62" s="90"/>
      <c r="L62" s="90"/>
    </row>
    <row r="63" spans="1:12">
      <c r="A63" s="90">
        <v>6285</v>
      </c>
      <c r="B63" s="90" t="s">
        <v>216</v>
      </c>
      <c r="C63" s="97">
        <f>C39/C6</f>
        <v>2.7473893585280955E-2</v>
      </c>
      <c r="D63" s="97">
        <f t="shared" ref="D63:J64" si="12">D39/D6</f>
        <v>3.1206464196154918E-2</v>
      </c>
      <c r="E63" s="97">
        <f t="shared" si="12"/>
        <v>2.5807951639153684E-2</v>
      </c>
      <c r="F63" s="97">
        <f t="shared" si="12"/>
        <v>2.4543136421589461E-2</v>
      </c>
      <c r="G63" s="97">
        <f t="shared" si="12"/>
        <v>2.5012866700977868E-2</v>
      </c>
      <c r="H63" s="97">
        <f t="shared" si="12"/>
        <v>2.5977964217123218E-2</v>
      </c>
      <c r="I63" s="97">
        <f t="shared" si="12"/>
        <v>2.4040642293386556E-2</v>
      </c>
      <c r="J63" s="97">
        <f t="shared" si="12"/>
        <v>2.358490566037736E-2</v>
      </c>
      <c r="K63" s="90"/>
      <c r="L63" s="90"/>
    </row>
    <row r="64" spans="1:12">
      <c r="A64" s="90"/>
      <c r="B64" s="90" t="s">
        <v>216</v>
      </c>
      <c r="C64" s="97" t="e">
        <f>C40/C7</f>
        <v>#N/A</v>
      </c>
      <c r="D64" s="97" t="e">
        <f t="shared" si="12"/>
        <v>#N/A</v>
      </c>
      <c r="E64" s="97" t="e">
        <f t="shared" si="12"/>
        <v>#N/A</v>
      </c>
      <c r="F64" s="97" t="e">
        <f t="shared" si="12"/>
        <v>#N/A</v>
      </c>
      <c r="G64" s="97" t="e">
        <f t="shared" si="12"/>
        <v>#N/A</v>
      </c>
      <c r="H64" s="97" t="e">
        <f t="shared" si="12"/>
        <v>#N/A</v>
      </c>
      <c r="I64" s="97" t="e">
        <f t="shared" si="12"/>
        <v>#N/A</v>
      </c>
      <c r="J64" s="97" t="e">
        <f t="shared" si="12"/>
        <v>#N/A</v>
      </c>
      <c r="K64" s="90"/>
      <c r="L64" s="90"/>
    </row>
    <row r="65" spans="1:12">
      <c r="A65" s="86">
        <v>5388</v>
      </c>
      <c r="B65" s="86" t="s">
        <v>217</v>
      </c>
      <c r="C65" s="98">
        <f>C41/C2</f>
        <v>0.12286547271970012</v>
      </c>
      <c r="D65" s="98">
        <f t="shared" ref="D65:J65" si="13">D41/D2</f>
        <v>0.11924641404410191</v>
      </c>
      <c r="E65" s="98">
        <f t="shared" si="13"/>
        <v>0.10994851353595748</v>
      </c>
      <c r="F65" s="98">
        <f t="shared" si="13"/>
        <v>9.9398080364405395E-2</v>
      </c>
      <c r="G65" s="98">
        <f t="shared" si="13"/>
        <v>0.10135347812401636</v>
      </c>
      <c r="H65" s="98">
        <f t="shared" si="13"/>
        <v>0.10666456593666299</v>
      </c>
      <c r="I65" s="98">
        <f t="shared" si="13"/>
        <v>8.9231487970100443E-2</v>
      </c>
      <c r="J65" s="98">
        <f t="shared" si="13"/>
        <v>8.9198271723475761E-2</v>
      </c>
      <c r="K65" s="86"/>
      <c r="L65" s="86"/>
    </row>
    <row r="66" spans="1:12">
      <c r="A66" s="86">
        <v>6285</v>
      </c>
      <c r="B66" s="86" t="s">
        <v>217</v>
      </c>
      <c r="C66" s="98">
        <f>C42/C3</f>
        <v>9.4793344068706389E-2</v>
      </c>
      <c r="D66" s="98">
        <f t="shared" ref="D66:J67" si="14">D42/D3</f>
        <v>8.9692101740294516E-2</v>
      </c>
      <c r="E66" s="98">
        <f t="shared" si="14"/>
        <v>9.5271418574427669E-2</v>
      </c>
      <c r="F66" s="98">
        <f t="shared" si="14"/>
        <v>8.835193212210643E-2</v>
      </c>
      <c r="G66" s="98">
        <f t="shared" si="14"/>
        <v>9.4460227272727279E-2</v>
      </c>
      <c r="H66" s="98">
        <f t="shared" si="14"/>
        <v>8.9819318971507994E-2</v>
      </c>
      <c r="I66" s="98">
        <f t="shared" si="14"/>
        <v>8.8496981251986018E-2</v>
      </c>
      <c r="J66" s="98">
        <f t="shared" si="14"/>
        <v>8.8563306363437566E-2</v>
      </c>
      <c r="K66" s="86"/>
      <c r="L66" s="86"/>
    </row>
    <row r="67" spans="1:12">
      <c r="A67" s="86"/>
      <c r="B67" s="86" t="s">
        <v>217</v>
      </c>
      <c r="C67" s="98" t="e">
        <f>C43/C4</f>
        <v>#N/A</v>
      </c>
      <c r="D67" s="98" t="e">
        <f t="shared" si="14"/>
        <v>#N/A</v>
      </c>
      <c r="E67" s="98" t="e">
        <f t="shared" si="14"/>
        <v>#N/A</v>
      </c>
      <c r="F67" s="98" t="e">
        <f t="shared" si="14"/>
        <v>#N/A</v>
      </c>
      <c r="G67" s="98" t="e">
        <f t="shared" si="14"/>
        <v>#N/A</v>
      </c>
      <c r="H67" s="98" t="e">
        <f t="shared" si="14"/>
        <v>#N/A</v>
      </c>
      <c r="I67" s="98" t="e">
        <f t="shared" si="14"/>
        <v>#N/A</v>
      </c>
      <c r="J67" s="98" t="e">
        <f t="shared" si="14"/>
        <v>#N/A</v>
      </c>
      <c r="K67" s="86"/>
      <c r="L67" s="86"/>
    </row>
    <row r="68" spans="1:12">
      <c r="A68" s="87">
        <v>5388</v>
      </c>
      <c r="B68" s="87" t="s">
        <v>543</v>
      </c>
      <c r="C68" s="99">
        <f t="shared" ref="C68:J70" si="15">ROUND((C2/C44)*10,2)</f>
        <v>23.4</v>
      </c>
      <c r="D68" s="99">
        <f t="shared" si="15"/>
        <v>21.46</v>
      </c>
      <c r="E68" s="99">
        <f t="shared" si="15"/>
        <v>26.67</v>
      </c>
      <c r="F68" s="99">
        <f t="shared" si="15"/>
        <v>27.2</v>
      </c>
      <c r="G68" s="99">
        <f t="shared" si="15"/>
        <v>27.72</v>
      </c>
      <c r="H68" s="99">
        <f t="shared" si="15"/>
        <v>27.58</v>
      </c>
      <c r="I68" s="99">
        <f t="shared" si="15"/>
        <v>37.06</v>
      </c>
      <c r="J68" s="99">
        <f t="shared" si="15"/>
        <v>43.23</v>
      </c>
      <c r="K68" s="87"/>
      <c r="L68" s="87"/>
    </row>
    <row r="69" spans="1:12">
      <c r="A69" s="87">
        <v>6285</v>
      </c>
      <c r="B69" s="87" t="s">
        <v>543</v>
      </c>
      <c r="C69" s="99">
        <f t="shared" si="15"/>
        <v>28.99</v>
      </c>
      <c r="D69" s="99">
        <f t="shared" si="15"/>
        <v>25.55</v>
      </c>
      <c r="E69" s="99">
        <f t="shared" si="15"/>
        <v>31.08</v>
      </c>
      <c r="F69" s="99">
        <f t="shared" si="15"/>
        <v>33</v>
      </c>
      <c r="G69" s="99">
        <f t="shared" si="15"/>
        <v>34.26</v>
      </c>
      <c r="H69" s="99">
        <f t="shared" si="15"/>
        <v>35.01</v>
      </c>
      <c r="I69" s="99">
        <f t="shared" si="15"/>
        <v>38.28</v>
      </c>
      <c r="J69" s="99">
        <f t="shared" si="15"/>
        <v>40.92</v>
      </c>
      <c r="K69" s="87"/>
      <c r="L69" s="87"/>
    </row>
    <row r="70" spans="1:12">
      <c r="A70" s="87"/>
      <c r="B70" s="87" t="s">
        <v>543</v>
      </c>
      <c r="C70" s="87" t="e">
        <f t="shared" si="15"/>
        <v>#N/A</v>
      </c>
      <c r="D70" s="87" t="e">
        <f t="shared" si="15"/>
        <v>#N/A</v>
      </c>
      <c r="E70" s="87" t="e">
        <f t="shared" si="15"/>
        <v>#N/A</v>
      </c>
      <c r="F70" s="87" t="e">
        <f t="shared" si="15"/>
        <v>#N/A</v>
      </c>
      <c r="G70" s="87" t="e">
        <f t="shared" si="15"/>
        <v>#N/A</v>
      </c>
      <c r="H70" s="87" t="e">
        <f t="shared" si="15"/>
        <v>#N/A</v>
      </c>
      <c r="I70" s="87" t="e">
        <f t="shared" si="15"/>
        <v>#N/A</v>
      </c>
      <c r="J70" s="87" t="e">
        <f t="shared" si="15"/>
        <v>#N/A</v>
      </c>
      <c r="K70" s="87"/>
      <c r="L70" s="87"/>
    </row>
    <row r="71" spans="1:12">
      <c r="A71" s="100">
        <v>5388</v>
      </c>
      <c r="B71" s="100" t="s">
        <v>542</v>
      </c>
      <c r="C71" s="100">
        <f t="shared" ref="C71:J73" si="16">ROUND((C26/C44)*10,2)</f>
        <v>0.84</v>
      </c>
      <c r="D71" s="100">
        <f t="shared" si="16"/>
        <v>-1.81</v>
      </c>
      <c r="E71" s="100">
        <f t="shared" si="16"/>
        <v>2.4</v>
      </c>
      <c r="F71" s="100">
        <f t="shared" si="16"/>
        <v>2.33</v>
      </c>
      <c r="G71" s="100">
        <f t="shared" si="16"/>
        <v>0.45</v>
      </c>
      <c r="H71" s="100">
        <f t="shared" si="16"/>
        <v>-1.92</v>
      </c>
      <c r="I71" s="100">
        <f t="shared" si="16"/>
        <v>0.32</v>
      </c>
      <c r="J71" s="100">
        <f t="shared" si="16"/>
        <v>6.51</v>
      </c>
      <c r="K71" s="100"/>
      <c r="L71" s="100"/>
    </row>
    <row r="72" spans="1:12">
      <c r="A72" s="100">
        <v>6285</v>
      </c>
      <c r="B72" s="100" t="s">
        <v>542</v>
      </c>
      <c r="C72" s="100">
        <f t="shared" si="16"/>
        <v>3.41</v>
      </c>
      <c r="D72" s="100">
        <f t="shared" si="16"/>
        <v>0.09</v>
      </c>
      <c r="E72" s="100">
        <f t="shared" si="16"/>
        <v>1.17</v>
      </c>
      <c r="F72" s="100">
        <f t="shared" si="16"/>
        <v>0.62</v>
      </c>
      <c r="G72" s="100">
        <f t="shared" si="16"/>
        <v>2.48</v>
      </c>
      <c r="H72" s="100">
        <f t="shared" si="16"/>
        <v>-0.65</v>
      </c>
      <c r="I72" s="100">
        <f t="shared" si="16"/>
        <v>0.94</v>
      </c>
      <c r="J72" s="100">
        <f t="shared" si="16"/>
        <v>3.6</v>
      </c>
      <c r="K72" s="100"/>
      <c r="L72" s="100"/>
    </row>
    <row r="73" spans="1:12">
      <c r="A73" s="100"/>
      <c r="B73" s="100" t="s">
        <v>542</v>
      </c>
      <c r="C73" s="100" t="e">
        <f t="shared" si="16"/>
        <v>#N/A</v>
      </c>
      <c r="D73" s="100" t="e">
        <f t="shared" si="16"/>
        <v>#N/A</v>
      </c>
      <c r="E73" s="100" t="e">
        <f t="shared" si="16"/>
        <v>#N/A</v>
      </c>
      <c r="F73" s="100" t="e">
        <f t="shared" si="16"/>
        <v>#N/A</v>
      </c>
      <c r="G73" s="100" t="e">
        <f t="shared" si="16"/>
        <v>#N/A</v>
      </c>
      <c r="H73" s="100" t="e">
        <f t="shared" si="16"/>
        <v>#N/A</v>
      </c>
      <c r="I73" s="100" t="e">
        <f t="shared" si="16"/>
        <v>#N/A</v>
      </c>
      <c r="J73" s="100" t="e">
        <f t="shared" si="16"/>
        <v>#N/A</v>
      </c>
      <c r="K73" s="100"/>
      <c r="L73" s="100"/>
    </row>
    <row r="74" spans="1:12">
      <c r="A74" s="101">
        <v>5388</v>
      </c>
      <c r="B74" s="101" t="s">
        <v>1869</v>
      </c>
      <c r="C74" s="101">
        <f>IF(C32&lt;0,ROUND((-C32/C44)*10,2),0)</f>
        <v>0.33</v>
      </c>
      <c r="D74" s="101">
        <f t="shared" ref="D74:J74" si="17">IF(D32&lt;0,ROUND((-D32/D44)*10,2),0)</f>
        <v>0.41</v>
      </c>
      <c r="E74" s="101">
        <f t="shared" si="17"/>
        <v>0.51</v>
      </c>
      <c r="F74" s="101">
        <f t="shared" si="17"/>
        <v>0.61</v>
      </c>
      <c r="G74" s="101">
        <f t="shared" si="17"/>
        <v>0.59</v>
      </c>
      <c r="H74" s="101">
        <f t="shared" si="17"/>
        <v>0.28999999999999998</v>
      </c>
      <c r="I74" s="101">
        <f t="shared" si="17"/>
        <v>0.99</v>
      </c>
      <c r="J74" s="101">
        <f t="shared" si="17"/>
        <v>0.37</v>
      </c>
      <c r="K74" s="101"/>
      <c r="L74" s="101"/>
    </row>
    <row r="75" spans="1:12">
      <c r="A75" s="101">
        <v>6285</v>
      </c>
      <c r="B75" s="101" t="s">
        <v>1869</v>
      </c>
      <c r="C75" s="101">
        <f>IF(C33&lt;0,ROUND((-C33/C45)*10,2),0)</f>
        <v>0.67</v>
      </c>
      <c r="D75" s="101">
        <f t="shared" ref="D75:J75" si="18">IF(D33&lt;0,ROUND((-D33/D45)*10,2),0)</f>
        <v>0.67</v>
      </c>
      <c r="E75" s="101">
        <f t="shared" si="18"/>
        <v>0.61</v>
      </c>
      <c r="F75" s="101">
        <f t="shared" si="18"/>
        <v>1.1000000000000001</v>
      </c>
      <c r="G75" s="101">
        <f t="shared" si="18"/>
        <v>1</v>
      </c>
      <c r="H75" s="101">
        <f t="shared" si="18"/>
        <v>0.78</v>
      </c>
      <c r="I75" s="101">
        <f t="shared" si="18"/>
        <v>1.46</v>
      </c>
      <c r="J75" s="101">
        <f t="shared" si="18"/>
        <v>1.69</v>
      </c>
      <c r="K75" s="101"/>
      <c r="L75" s="101"/>
    </row>
    <row r="76" spans="1:12">
      <c r="A76" s="101"/>
      <c r="B76" s="101" t="s">
        <v>1869</v>
      </c>
      <c r="C76" s="101" t="e">
        <f>IF(C34&lt;0,ROUND((-C34/C46)*10,2),0)</f>
        <v>#N/A</v>
      </c>
      <c r="D76" s="101" t="e">
        <f t="shared" ref="D76:J76" si="19">IF(D34&lt;0,ROUND((-D34/D46)*10,2),0)</f>
        <v>#N/A</v>
      </c>
      <c r="E76" s="101" t="e">
        <f t="shared" si="19"/>
        <v>#N/A</v>
      </c>
      <c r="F76" s="101" t="e">
        <f t="shared" si="19"/>
        <v>#N/A</v>
      </c>
      <c r="G76" s="101" t="e">
        <f t="shared" si="19"/>
        <v>#N/A</v>
      </c>
      <c r="H76" s="101" t="e">
        <f t="shared" si="19"/>
        <v>#N/A</v>
      </c>
      <c r="I76" s="101" t="e">
        <f t="shared" si="19"/>
        <v>#N/A</v>
      </c>
      <c r="J76" s="101" t="e">
        <f t="shared" si="19"/>
        <v>#N/A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2432</v>
      </c>
    </row>
    <row r="3" spans="2:10">
      <c r="B3" t="s">
        <v>47</v>
      </c>
    </row>
    <row r="4" spans="2:10">
      <c r="B4" t="s">
        <v>48</v>
      </c>
      <c r="C4" t="s">
        <v>1930</v>
      </c>
      <c r="D4" t="s">
        <v>225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10415</v>
      </c>
      <c r="D5" s="46">
        <v>8562</v>
      </c>
      <c r="E5" s="46">
        <v>6347</v>
      </c>
      <c r="F5" s="46">
        <v>6354</v>
      </c>
      <c r="G5" s="46">
        <v>6147</v>
      </c>
      <c r="H5" s="46">
        <v>6021</v>
      </c>
      <c r="I5" s="46">
        <v>4671</v>
      </c>
      <c r="J5" s="46">
        <v>4802</v>
      </c>
    </row>
    <row r="6" spans="2:10">
      <c r="B6" t="s">
        <v>11</v>
      </c>
      <c r="C6" s="46">
        <v>8862</v>
      </c>
      <c r="D6" s="46">
        <v>7429</v>
      </c>
      <c r="E6" s="46">
        <v>5483</v>
      </c>
      <c r="F6" s="46">
        <v>5403</v>
      </c>
      <c r="G6" s="46">
        <v>5222</v>
      </c>
      <c r="H6" s="46">
        <v>5032</v>
      </c>
      <c r="I6" s="46">
        <v>3880</v>
      </c>
      <c r="J6" s="46">
        <v>3941</v>
      </c>
    </row>
    <row r="7" spans="2:10">
      <c r="B7" t="s">
        <v>55</v>
      </c>
      <c r="C7" s="46">
        <v>1553</v>
      </c>
      <c r="D7" s="46">
        <v>1132</v>
      </c>
      <c r="E7">
        <v>864</v>
      </c>
      <c r="F7">
        <v>951</v>
      </c>
      <c r="G7">
        <v>925</v>
      </c>
      <c r="H7">
        <v>989</v>
      </c>
      <c r="I7">
        <v>790</v>
      </c>
      <c r="J7">
        <v>861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1553</v>
      </c>
      <c r="D9" s="46">
        <v>1132</v>
      </c>
      <c r="E9">
        <v>864</v>
      </c>
      <c r="F9">
        <v>951</v>
      </c>
      <c r="G9">
        <v>925</v>
      </c>
      <c r="H9">
        <v>989</v>
      </c>
      <c r="I9">
        <v>790</v>
      </c>
      <c r="J9">
        <v>861</v>
      </c>
    </row>
    <row r="10" spans="2:10">
      <c r="B10" t="s">
        <v>58</v>
      </c>
      <c r="C10">
        <v>929</v>
      </c>
      <c r="D10">
        <v>764</v>
      </c>
      <c r="E10">
        <v>677</v>
      </c>
      <c r="F10">
        <v>644</v>
      </c>
      <c r="G10">
        <v>611</v>
      </c>
      <c r="H10">
        <v>662</v>
      </c>
      <c r="I10">
        <v>557</v>
      </c>
      <c r="J10">
        <v>590</v>
      </c>
    </row>
    <row r="11" spans="2:10">
      <c r="B11" t="s">
        <v>59</v>
      </c>
      <c r="C11">
        <v>278</v>
      </c>
      <c r="D11">
        <v>236</v>
      </c>
      <c r="E11">
        <v>197</v>
      </c>
      <c r="F11">
        <v>162</v>
      </c>
      <c r="G11">
        <v>173</v>
      </c>
      <c r="H11">
        <v>193</v>
      </c>
      <c r="I11">
        <v>167</v>
      </c>
      <c r="J11">
        <v>168</v>
      </c>
    </row>
    <row r="12" spans="2:10">
      <c r="B12" t="s">
        <v>60</v>
      </c>
      <c r="C12">
        <v>240</v>
      </c>
      <c r="D12">
        <v>185</v>
      </c>
      <c r="E12">
        <v>180</v>
      </c>
      <c r="F12">
        <v>164</v>
      </c>
      <c r="G12">
        <v>166</v>
      </c>
      <c r="H12">
        <v>180</v>
      </c>
      <c r="I12">
        <v>143</v>
      </c>
      <c r="J12">
        <v>154</v>
      </c>
    </row>
    <row r="13" spans="2:10">
      <c r="B13" t="s">
        <v>61</v>
      </c>
      <c r="C13">
        <v>411</v>
      </c>
      <c r="D13">
        <v>343</v>
      </c>
      <c r="E13">
        <v>300</v>
      </c>
      <c r="F13">
        <v>318</v>
      </c>
      <c r="G13">
        <v>272</v>
      </c>
      <c r="H13">
        <v>289</v>
      </c>
      <c r="I13">
        <v>247</v>
      </c>
      <c r="J13">
        <v>268</v>
      </c>
    </row>
    <row r="14" spans="2:10">
      <c r="B14" t="s">
        <v>62</v>
      </c>
      <c r="C14">
        <v>625</v>
      </c>
      <c r="D14">
        <v>369</v>
      </c>
      <c r="E14">
        <v>187</v>
      </c>
      <c r="F14">
        <v>307</v>
      </c>
      <c r="G14">
        <v>314</v>
      </c>
      <c r="H14">
        <v>326</v>
      </c>
      <c r="I14">
        <v>233</v>
      </c>
      <c r="J14">
        <v>271</v>
      </c>
    </row>
    <row r="15" spans="2:10">
      <c r="B15" t="s">
        <v>63</v>
      </c>
      <c r="C15">
        <v>21</v>
      </c>
      <c r="D15">
        <v>22</v>
      </c>
      <c r="E15">
        <v>22</v>
      </c>
      <c r="F15">
        <v>25</v>
      </c>
      <c r="G15">
        <v>22</v>
      </c>
      <c r="H15">
        <v>10</v>
      </c>
      <c r="I15">
        <v>9</v>
      </c>
      <c r="J15">
        <v>8</v>
      </c>
    </row>
    <row r="16" spans="2:10">
      <c r="B16" t="s">
        <v>64</v>
      </c>
      <c r="C16">
        <v>2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</row>
    <row r="17" spans="2:10">
      <c r="B17" t="s">
        <v>65</v>
      </c>
      <c r="C17">
        <v>13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-11</v>
      </c>
      <c r="D19">
        <v>-6</v>
      </c>
      <c r="E19">
        <v>17</v>
      </c>
      <c r="F19">
        <v>26</v>
      </c>
      <c r="G19">
        <v>23</v>
      </c>
      <c r="H19">
        <v>6</v>
      </c>
      <c r="I19">
        <v>0</v>
      </c>
      <c r="J19">
        <v>-9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-16</v>
      </c>
      <c r="D25">
        <v>16</v>
      </c>
      <c r="E25">
        <v>0</v>
      </c>
      <c r="F25">
        <v>0</v>
      </c>
      <c r="G25">
        <v>0</v>
      </c>
      <c r="H25">
        <v>0</v>
      </c>
      <c r="I25">
        <v>0</v>
      </c>
      <c r="J25">
        <v>7</v>
      </c>
    </row>
    <row r="26" spans="2:10">
      <c r="B26" t="s">
        <v>74</v>
      </c>
      <c r="C26">
        <v>6</v>
      </c>
      <c r="D26">
        <v>4</v>
      </c>
      <c r="E26">
        <v>6</v>
      </c>
      <c r="F26">
        <v>7</v>
      </c>
      <c r="G26">
        <v>4</v>
      </c>
      <c r="H26">
        <v>3</v>
      </c>
      <c r="I26">
        <v>4</v>
      </c>
      <c r="J26">
        <v>7</v>
      </c>
    </row>
    <row r="27" spans="2:10">
      <c r="B27" t="s">
        <v>75</v>
      </c>
      <c r="C27">
        <v>16</v>
      </c>
      <c r="D27">
        <v>36</v>
      </c>
      <c r="E27">
        <v>45</v>
      </c>
      <c r="F27">
        <v>58</v>
      </c>
      <c r="G27">
        <v>50</v>
      </c>
      <c r="H27">
        <v>19</v>
      </c>
      <c r="I27">
        <v>13</v>
      </c>
      <c r="J27">
        <v>13</v>
      </c>
    </row>
    <row r="28" spans="2:10">
      <c r="B28" t="s">
        <v>76</v>
      </c>
      <c r="C28">
        <v>23</v>
      </c>
      <c r="D28">
        <v>17</v>
      </c>
      <c r="E28">
        <v>11</v>
      </c>
      <c r="F28">
        <v>27</v>
      </c>
      <c r="G28">
        <v>24</v>
      </c>
      <c r="H28">
        <v>18</v>
      </c>
      <c r="I28">
        <v>13</v>
      </c>
      <c r="J28">
        <v>12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2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2</v>
      </c>
      <c r="F32">
        <v>-3</v>
      </c>
      <c r="G32">
        <v>26</v>
      </c>
      <c r="H32">
        <v>0</v>
      </c>
      <c r="I32">
        <v>0</v>
      </c>
      <c r="J32">
        <v>4</v>
      </c>
    </row>
    <row r="33" spans="2:10">
      <c r="B33" t="s">
        <v>81</v>
      </c>
      <c r="C33">
        <v>12</v>
      </c>
      <c r="D33">
        <v>0</v>
      </c>
      <c r="E33">
        <v>0</v>
      </c>
      <c r="F33">
        <v>0</v>
      </c>
      <c r="G33">
        <v>0</v>
      </c>
      <c r="H33">
        <v>-3</v>
      </c>
      <c r="I33">
        <v>3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-7</v>
      </c>
    </row>
    <row r="38" spans="2:10">
      <c r="B38" t="s">
        <v>86</v>
      </c>
      <c r="C38">
        <v>66</v>
      </c>
      <c r="D38">
        <v>-17</v>
      </c>
      <c r="E38">
        <v>17</v>
      </c>
      <c r="F38">
        <v>-10</v>
      </c>
      <c r="G38">
        <v>24</v>
      </c>
      <c r="H38">
        <v>1</v>
      </c>
      <c r="I38">
        <v>9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3</v>
      </c>
      <c r="D40">
        <v>1</v>
      </c>
      <c r="E40">
        <v>0</v>
      </c>
      <c r="F40">
        <v>1</v>
      </c>
      <c r="G40">
        <v>1</v>
      </c>
      <c r="H40">
        <v>1</v>
      </c>
      <c r="I40">
        <v>0</v>
      </c>
      <c r="J40">
        <v>4</v>
      </c>
    </row>
    <row r="41" spans="2:10">
      <c r="B41" t="s">
        <v>89</v>
      </c>
      <c r="C41">
        <v>104</v>
      </c>
      <c r="D41">
        <v>1</v>
      </c>
      <c r="E41">
        <v>30</v>
      </c>
      <c r="F41">
        <v>14</v>
      </c>
      <c r="G41">
        <v>75</v>
      </c>
      <c r="H41">
        <v>18</v>
      </c>
      <c r="I41">
        <v>25</v>
      </c>
      <c r="J41">
        <v>16</v>
      </c>
    </row>
    <row r="42" spans="2:10">
      <c r="B42" t="s">
        <v>90</v>
      </c>
      <c r="C42">
        <v>537</v>
      </c>
      <c r="D42">
        <v>404</v>
      </c>
      <c r="E42">
        <v>202</v>
      </c>
      <c r="F42">
        <v>351</v>
      </c>
      <c r="G42">
        <v>289</v>
      </c>
      <c r="H42">
        <v>328</v>
      </c>
      <c r="I42">
        <v>221</v>
      </c>
      <c r="J42">
        <v>268</v>
      </c>
    </row>
    <row r="43" spans="2:10">
      <c r="B43" t="s">
        <v>91</v>
      </c>
      <c r="C43">
        <v>97</v>
      </c>
      <c r="D43">
        <v>76</v>
      </c>
      <c r="E43">
        <v>35</v>
      </c>
      <c r="F43">
        <v>96</v>
      </c>
      <c r="G43">
        <v>50</v>
      </c>
      <c r="H43">
        <v>56</v>
      </c>
      <c r="I43">
        <v>37</v>
      </c>
      <c r="J43">
        <v>46</v>
      </c>
    </row>
    <row r="44" spans="2:10">
      <c r="B44" t="s">
        <v>92</v>
      </c>
      <c r="C44">
        <v>440</v>
      </c>
      <c r="D44">
        <v>328</v>
      </c>
      <c r="E44">
        <v>167</v>
      </c>
      <c r="F44">
        <v>254</v>
      </c>
      <c r="G44">
        <v>239</v>
      </c>
      <c r="H44">
        <v>272</v>
      </c>
      <c r="I44">
        <v>184</v>
      </c>
      <c r="J44">
        <v>222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440</v>
      </c>
      <c r="D48">
        <v>328</v>
      </c>
      <c r="E48">
        <v>167</v>
      </c>
      <c r="F48">
        <v>254</v>
      </c>
      <c r="G48">
        <v>239</v>
      </c>
      <c r="H48">
        <v>272</v>
      </c>
      <c r="I48">
        <v>184</v>
      </c>
      <c r="J48">
        <v>222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-2</v>
      </c>
      <c r="D50">
        <v>-1</v>
      </c>
      <c r="E50">
        <v>-1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442</v>
      </c>
      <c r="D52">
        <v>329</v>
      </c>
      <c r="E52">
        <v>168</v>
      </c>
      <c r="F52">
        <v>255</v>
      </c>
      <c r="G52">
        <v>239</v>
      </c>
      <c r="H52">
        <v>272</v>
      </c>
      <c r="I52">
        <v>184</v>
      </c>
      <c r="J52">
        <v>222</v>
      </c>
    </row>
    <row r="53" spans="2:10">
      <c r="B53" t="s">
        <v>14</v>
      </c>
      <c r="C53">
        <v>1.89</v>
      </c>
      <c r="D53">
        <v>1.43</v>
      </c>
      <c r="E53">
        <v>0.73</v>
      </c>
      <c r="F53">
        <v>1.1299999999999999</v>
      </c>
      <c r="G53">
        <v>1.07</v>
      </c>
      <c r="H53">
        <v>1.22</v>
      </c>
      <c r="I53">
        <v>0.84</v>
      </c>
      <c r="J53">
        <v>1.1000000000000001</v>
      </c>
    </row>
    <row r="54" spans="2:10">
      <c r="B54" t="s">
        <v>101</v>
      </c>
      <c r="C54">
        <v>1.81</v>
      </c>
      <c r="D54">
        <v>1.36</v>
      </c>
      <c r="E54">
        <v>0.7</v>
      </c>
      <c r="F54" t="s">
        <v>98</v>
      </c>
      <c r="G54">
        <v>1</v>
      </c>
      <c r="H54">
        <v>1.1399999999999999</v>
      </c>
      <c r="I54">
        <v>0.78</v>
      </c>
      <c r="J54" t="s">
        <v>98</v>
      </c>
    </row>
    <row r="55" spans="2:10">
      <c r="B55" t="s">
        <v>102</v>
      </c>
      <c r="C55" s="46">
        <v>2339</v>
      </c>
      <c r="D55" s="46">
        <v>2303</v>
      </c>
      <c r="E55" s="46">
        <v>2303</v>
      </c>
      <c r="F55" s="46">
        <v>2254</v>
      </c>
      <c r="G55" s="46">
        <v>2239</v>
      </c>
      <c r="H55" s="46">
        <v>2225</v>
      </c>
      <c r="I55" s="46">
        <v>2194</v>
      </c>
      <c r="J55" s="46">
        <v>2017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559</v>
      </c>
      <c r="D60">
        <v>420</v>
      </c>
      <c r="E60">
        <v>213</v>
      </c>
      <c r="F60">
        <v>377</v>
      </c>
      <c r="G60">
        <v>314</v>
      </c>
      <c r="H60">
        <v>346</v>
      </c>
      <c r="I60">
        <v>234</v>
      </c>
      <c r="J60">
        <v>281</v>
      </c>
    </row>
    <row r="61" spans="2:10">
      <c r="B61" t="s">
        <v>108</v>
      </c>
      <c r="C61">
        <v>688</v>
      </c>
      <c r="D61">
        <v>538</v>
      </c>
      <c r="E61">
        <v>329</v>
      </c>
      <c r="F61">
        <v>483</v>
      </c>
      <c r="G61">
        <v>417</v>
      </c>
      <c r="H61">
        <v>446</v>
      </c>
      <c r="I61">
        <v>331</v>
      </c>
      <c r="J61">
        <v>377</v>
      </c>
    </row>
    <row r="62" spans="2:10">
      <c r="B62" t="s">
        <v>109</v>
      </c>
      <c r="C62">
        <v>449</v>
      </c>
      <c r="D62">
        <v>335</v>
      </c>
      <c r="E62">
        <v>152</v>
      </c>
      <c r="F62">
        <v>225</v>
      </c>
      <c r="G62">
        <v>242</v>
      </c>
      <c r="H62">
        <v>263</v>
      </c>
      <c r="I62">
        <v>187</v>
      </c>
      <c r="J62">
        <v>228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2433</v>
      </c>
    </row>
    <row r="102" spans="2:10">
      <c r="B102" t="s">
        <v>47</v>
      </c>
    </row>
    <row r="103" spans="2:10">
      <c r="B103" t="s">
        <v>48</v>
      </c>
      <c r="C103" t="s">
        <v>1930</v>
      </c>
      <c r="D103" t="s">
        <v>225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5929</v>
      </c>
      <c r="D104" s="46">
        <v>5562</v>
      </c>
      <c r="E104" s="46">
        <v>5221</v>
      </c>
      <c r="F104" s="46">
        <v>5224</v>
      </c>
      <c r="G104" s="46">
        <v>4813</v>
      </c>
      <c r="H104" s="46">
        <v>4966</v>
      </c>
      <c r="I104" s="46">
        <v>3954</v>
      </c>
      <c r="J104" s="46">
        <v>3813</v>
      </c>
    </row>
    <row r="105" spans="2:10">
      <c r="B105" t="s">
        <v>153</v>
      </c>
      <c r="C105">
        <v>398</v>
      </c>
      <c r="D105">
        <v>133</v>
      </c>
      <c r="E105">
        <v>375</v>
      </c>
      <c r="F105">
        <v>100</v>
      </c>
      <c r="G105">
        <v>137</v>
      </c>
      <c r="H105">
        <v>28</v>
      </c>
      <c r="I105">
        <v>4</v>
      </c>
      <c r="J105">
        <v>0</v>
      </c>
    </row>
    <row r="106" spans="2:10">
      <c r="B106" t="s">
        <v>190</v>
      </c>
      <c r="C106" s="46">
        <v>6920</v>
      </c>
      <c r="D106" s="46">
        <v>6755</v>
      </c>
      <c r="E106" s="46">
        <v>5090</v>
      </c>
      <c r="F106" s="46">
        <v>4412</v>
      </c>
      <c r="G106" s="46">
        <v>3836</v>
      </c>
      <c r="H106" s="46">
        <v>3481</v>
      </c>
      <c r="I106" s="46">
        <v>3133</v>
      </c>
      <c r="J106" s="46">
        <v>2626</v>
      </c>
    </row>
    <row r="107" spans="2:10">
      <c r="B107" t="s">
        <v>154</v>
      </c>
      <c r="C107">
        <v>159</v>
      </c>
      <c r="D107">
        <v>241</v>
      </c>
      <c r="E107">
        <v>248</v>
      </c>
      <c r="F107">
        <v>331</v>
      </c>
      <c r="G107">
        <v>174</v>
      </c>
      <c r="H107">
        <v>209</v>
      </c>
      <c r="I107">
        <v>138</v>
      </c>
      <c r="J107">
        <v>205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5575</v>
      </c>
      <c r="D109" s="46">
        <v>5158</v>
      </c>
      <c r="E109" s="46">
        <v>4173</v>
      </c>
      <c r="F109" s="46">
        <v>3629</v>
      </c>
      <c r="G109" s="46">
        <v>3292</v>
      </c>
      <c r="H109" s="46">
        <v>3288</v>
      </c>
      <c r="I109" s="46">
        <v>3112</v>
      </c>
      <c r="J109" s="46">
        <v>2634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</v>
      </c>
      <c r="D111">
        <v>3</v>
      </c>
      <c r="E111">
        <v>3</v>
      </c>
      <c r="F111">
        <v>3</v>
      </c>
      <c r="G111">
        <v>3</v>
      </c>
      <c r="H111">
        <v>3</v>
      </c>
      <c r="I111">
        <v>3</v>
      </c>
      <c r="J111">
        <v>3</v>
      </c>
    </row>
    <row r="112" spans="2:10">
      <c r="B112" t="s">
        <v>156</v>
      </c>
      <c r="C112">
        <v>230</v>
      </c>
      <c r="D112">
        <v>234</v>
      </c>
      <c r="E112">
        <v>200</v>
      </c>
      <c r="F112">
        <v>214</v>
      </c>
      <c r="G112">
        <v>186</v>
      </c>
      <c r="H112">
        <v>135</v>
      </c>
      <c r="I112">
        <v>115</v>
      </c>
      <c r="J112">
        <v>134</v>
      </c>
    </row>
    <row r="113" spans="2:10">
      <c r="B113" t="s">
        <v>157</v>
      </c>
      <c r="C113" s="46">
        <v>19214</v>
      </c>
      <c r="D113" s="46">
        <v>18107</v>
      </c>
      <c r="E113" s="46">
        <v>15316</v>
      </c>
      <c r="F113" s="46">
        <v>13913</v>
      </c>
      <c r="G113" s="46">
        <v>12442</v>
      </c>
      <c r="H113" s="46">
        <v>12109</v>
      </c>
      <c r="I113" s="46">
        <v>10474</v>
      </c>
      <c r="J113" s="46">
        <v>9471</v>
      </c>
    </row>
    <row r="114" spans="2:10">
      <c r="B114" t="s">
        <v>158</v>
      </c>
      <c r="C114">
        <v>126</v>
      </c>
      <c r="D114">
        <v>86</v>
      </c>
      <c r="E114">
        <v>72</v>
      </c>
      <c r="F114">
        <v>59</v>
      </c>
      <c r="G114">
        <v>81</v>
      </c>
      <c r="H114">
        <v>52</v>
      </c>
      <c r="I114">
        <v>50</v>
      </c>
      <c r="J114">
        <v>46</v>
      </c>
    </row>
    <row r="115" spans="2:10">
      <c r="B115" t="s">
        <v>159</v>
      </c>
      <c r="C115">
        <v>382</v>
      </c>
      <c r="D115">
        <v>382</v>
      </c>
      <c r="E115">
        <v>382</v>
      </c>
      <c r="F115">
        <v>382</v>
      </c>
      <c r="G115">
        <v>382</v>
      </c>
      <c r="H115">
        <v>382</v>
      </c>
      <c r="I115">
        <v>382</v>
      </c>
      <c r="J115">
        <v>382</v>
      </c>
    </row>
    <row r="116" spans="2:10">
      <c r="B116" t="s">
        <v>160</v>
      </c>
      <c r="C116" s="46">
        <v>1420</v>
      </c>
      <c r="D116" s="46">
        <v>1386</v>
      </c>
      <c r="E116" s="46">
        <v>1395</v>
      </c>
      <c r="F116" s="46">
        <v>1403</v>
      </c>
      <c r="G116" s="46">
        <v>1376</v>
      </c>
      <c r="H116" s="46">
        <v>1353</v>
      </c>
      <c r="I116" s="46">
        <v>1368</v>
      </c>
      <c r="J116" s="46">
        <v>1375</v>
      </c>
    </row>
    <row r="117" spans="2:10">
      <c r="B117" t="s">
        <v>161</v>
      </c>
      <c r="C117" s="46">
        <v>2142</v>
      </c>
      <c r="D117" s="46">
        <v>2036</v>
      </c>
      <c r="E117" s="46">
        <v>1800</v>
      </c>
      <c r="F117" s="46">
        <v>1784</v>
      </c>
      <c r="G117" s="46">
        <v>1674</v>
      </c>
      <c r="H117" s="46">
        <v>1794</v>
      </c>
      <c r="I117" s="46">
        <v>1773</v>
      </c>
      <c r="J117" s="46">
        <v>1743</v>
      </c>
    </row>
    <row r="118" spans="2:10">
      <c r="B118" t="s">
        <v>162</v>
      </c>
      <c r="C118" s="46">
        <v>1211</v>
      </c>
      <c r="D118" s="46">
        <v>1157</v>
      </c>
      <c r="E118" s="46">
        <v>1118</v>
      </c>
      <c r="F118" s="46">
        <v>1104</v>
      </c>
      <c r="G118" s="46">
        <v>1062</v>
      </c>
      <c r="H118" s="46">
        <v>1032</v>
      </c>
      <c r="I118">
        <v>994</v>
      </c>
      <c r="J118">
        <v>960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-1684</v>
      </c>
      <c r="D120" s="46">
        <v>-1526</v>
      </c>
      <c r="E120" s="46">
        <v>-1435</v>
      </c>
      <c r="F120" s="46">
        <v>-1354</v>
      </c>
      <c r="G120" s="46">
        <v>-1287</v>
      </c>
      <c r="H120" s="46">
        <v>-1347</v>
      </c>
      <c r="I120" s="46">
        <v>-1284</v>
      </c>
      <c r="J120" s="46">
        <v>-1218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3</v>
      </c>
      <c r="D122">
        <v>1</v>
      </c>
      <c r="E122">
        <v>1</v>
      </c>
      <c r="F122">
        <v>2</v>
      </c>
      <c r="G122">
        <v>20</v>
      </c>
      <c r="H122">
        <v>7</v>
      </c>
      <c r="I122">
        <v>9</v>
      </c>
      <c r="J122">
        <v>3</v>
      </c>
    </row>
    <row r="123" spans="2:10">
      <c r="B123" t="s">
        <v>167</v>
      </c>
      <c r="C123" s="46">
        <v>3474</v>
      </c>
      <c r="D123" s="46">
        <v>3435</v>
      </c>
      <c r="E123" s="46">
        <v>3261</v>
      </c>
      <c r="F123" s="46">
        <v>3321</v>
      </c>
      <c r="G123" s="46">
        <v>3227</v>
      </c>
      <c r="H123" s="46">
        <v>3222</v>
      </c>
      <c r="I123" s="46">
        <v>3242</v>
      </c>
      <c r="J123" s="46">
        <v>3245</v>
      </c>
    </row>
    <row r="124" spans="2:10">
      <c r="B124" t="s">
        <v>168</v>
      </c>
      <c r="C124">
        <v>226</v>
      </c>
      <c r="D124">
        <v>198</v>
      </c>
      <c r="E124">
        <v>202</v>
      </c>
      <c r="F124">
        <v>185</v>
      </c>
      <c r="G124">
        <v>148</v>
      </c>
      <c r="H124">
        <v>144</v>
      </c>
      <c r="I124">
        <v>119</v>
      </c>
      <c r="J124">
        <v>114</v>
      </c>
    </row>
    <row r="125" spans="2:10">
      <c r="B125" t="s">
        <v>169</v>
      </c>
      <c r="C125">
        <v>259</v>
      </c>
      <c r="D125">
        <v>196</v>
      </c>
      <c r="E125">
        <v>129</v>
      </c>
      <c r="F125">
        <v>132</v>
      </c>
      <c r="G125">
        <v>135</v>
      </c>
      <c r="H125">
        <v>136</v>
      </c>
      <c r="I125">
        <v>138</v>
      </c>
      <c r="J125">
        <v>139</v>
      </c>
    </row>
    <row r="126" spans="2:10">
      <c r="B126" t="s">
        <v>170</v>
      </c>
      <c r="C126">
        <v>321</v>
      </c>
      <c r="D126">
        <v>307</v>
      </c>
      <c r="E126">
        <v>384</v>
      </c>
      <c r="F126">
        <v>379</v>
      </c>
      <c r="G126">
        <v>388</v>
      </c>
      <c r="H126">
        <v>379</v>
      </c>
      <c r="I126">
        <v>361</v>
      </c>
      <c r="J126">
        <v>378</v>
      </c>
    </row>
    <row r="127" spans="2:10">
      <c r="B127" t="s">
        <v>171</v>
      </c>
      <c r="C127">
        <v>858</v>
      </c>
      <c r="D127">
        <v>701</v>
      </c>
      <c r="E127">
        <v>715</v>
      </c>
      <c r="F127">
        <v>695</v>
      </c>
      <c r="G127">
        <v>672</v>
      </c>
      <c r="H127">
        <v>659</v>
      </c>
      <c r="I127">
        <v>618</v>
      </c>
      <c r="J127">
        <v>630</v>
      </c>
    </row>
    <row r="128" spans="2:10">
      <c r="B128" t="s">
        <v>18</v>
      </c>
      <c r="C128" s="46">
        <v>23673</v>
      </c>
      <c r="D128" s="46">
        <v>22328</v>
      </c>
      <c r="E128" s="46">
        <v>19363</v>
      </c>
      <c r="F128" s="46">
        <v>17988</v>
      </c>
      <c r="G128" s="46">
        <v>16421</v>
      </c>
      <c r="H128" s="46">
        <v>16041</v>
      </c>
      <c r="I128" s="46">
        <v>14385</v>
      </c>
      <c r="J128" s="46">
        <v>13393</v>
      </c>
    </row>
    <row r="129" spans="2:10">
      <c r="B129" t="s">
        <v>193</v>
      </c>
      <c r="C129" s="46">
        <v>3338</v>
      </c>
      <c r="D129" s="46">
        <v>3688</v>
      </c>
      <c r="E129" s="46">
        <v>3082</v>
      </c>
      <c r="F129" s="46">
        <v>2542</v>
      </c>
      <c r="G129" s="46">
        <v>2225</v>
      </c>
      <c r="H129" s="46">
        <v>2221</v>
      </c>
      <c r="I129" s="46">
        <v>1615</v>
      </c>
      <c r="J129">
        <v>987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9995</v>
      </c>
      <c r="D131" s="46">
        <v>8710</v>
      </c>
      <c r="E131" s="46">
        <v>7021</v>
      </c>
      <c r="F131" s="46">
        <v>6573</v>
      </c>
      <c r="G131" s="46">
        <v>5951</v>
      </c>
      <c r="H131" s="46">
        <v>5319</v>
      </c>
      <c r="I131" s="46">
        <v>4839</v>
      </c>
      <c r="J131" s="46">
        <v>4622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2553</v>
      </c>
      <c r="D134" s="46">
        <v>2939</v>
      </c>
      <c r="E134" s="46">
        <v>1761</v>
      </c>
      <c r="F134" s="46">
        <v>1688</v>
      </c>
      <c r="G134" s="46">
        <v>1499</v>
      </c>
      <c r="H134" s="46">
        <v>2150</v>
      </c>
      <c r="I134" s="46">
        <v>1242</v>
      </c>
      <c r="J134" s="46">
        <v>1279</v>
      </c>
    </row>
    <row r="135" spans="2:10">
      <c r="B135" t="s">
        <v>175</v>
      </c>
      <c r="C135">
        <v>182</v>
      </c>
      <c r="D135">
        <v>172</v>
      </c>
      <c r="E135">
        <v>196</v>
      </c>
      <c r="F135">
        <v>313</v>
      </c>
      <c r="G135">
        <v>189</v>
      </c>
      <c r="H135">
        <v>229</v>
      </c>
      <c r="I135">
        <v>208</v>
      </c>
      <c r="J135">
        <v>231</v>
      </c>
    </row>
    <row r="136" spans="2:10">
      <c r="B136" t="s">
        <v>176</v>
      </c>
      <c r="C136">
        <v>36</v>
      </c>
      <c r="D136">
        <v>244</v>
      </c>
      <c r="E136">
        <v>245</v>
      </c>
      <c r="F136">
        <v>263</v>
      </c>
      <c r="G136">
        <v>339</v>
      </c>
      <c r="H136">
        <v>225</v>
      </c>
      <c r="I136">
        <v>224</v>
      </c>
      <c r="J136">
        <v>464</v>
      </c>
    </row>
    <row r="137" spans="2:10">
      <c r="B137" t="s">
        <v>177</v>
      </c>
      <c r="C137">
        <v>352</v>
      </c>
      <c r="D137">
        <v>434</v>
      </c>
      <c r="E137">
        <v>293</v>
      </c>
      <c r="F137">
        <v>272</v>
      </c>
      <c r="G137">
        <v>315</v>
      </c>
      <c r="H137">
        <v>316</v>
      </c>
      <c r="I137">
        <v>311</v>
      </c>
      <c r="J137">
        <v>271</v>
      </c>
    </row>
    <row r="138" spans="2:10">
      <c r="B138" t="s">
        <v>178</v>
      </c>
      <c r="C138" s="46">
        <v>16650</v>
      </c>
      <c r="D138" s="46">
        <v>16200</v>
      </c>
      <c r="E138" s="46">
        <v>12598</v>
      </c>
      <c r="F138" s="46">
        <v>11652</v>
      </c>
      <c r="G138" s="46">
        <v>10518</v>
      </c>
      <c r="H138" s="46">
        <v>10463</v>
      </c>
      <c r="I138" s="46">
        <v>8459</v>
      </c>
      <c r="J138" s="46">
        <v>7887</v>
      </c>
    </row>
    <row r="139" spans="2:10">
      <c r="B139" t="s">
        <v>179</v>
      </c>
      <c r="C139">
        <v>195</v>
      </c>
      <c r="D139">
        <v>170</v>
      </c>
      <c r="E139">
        <v>173</v>
      </c>
      <c r="F139">
        <v>196</v>
      </c>
      <c r="G139">
        <v>200</v>
      </c>
      <c r="H139">
        <v>393</v>
      </c>
      <c r="I139">
        <v>410</v>
      </c>
      <c r="J139">
        <v>727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39</v>
      </c>
      <c r="D141">
        <v>39</v>
      </c>
      <c r="E141">
        <v>40</v>
      </c>
      <c r="F141">
        <v>40</v>
      </c>
      <c r="G141">
        <v>34</v>
      </c>
      <c r="H141">
        <v>34</v>
      </c>
      <c r="I141">
        <v>35</v>
      </c>
      <c r="J141">
        <v>35</v>
      </c>
    </row>
    <row r="142" spans="2:10">
      <c r="B142" t="s">
        <v>182</v>
      </c>
      <c r="C142">
        <v>81</v>
      </c>
      <c r="D142">
        <v>38</v>
      </c>
      <c r="E142">
        <v>78</v>
      </c>
      <c r="F142">
        <v>31</v>
      </c>
      <c r="G142">
        <v>38</v>
      </c>
      <c r="H142">
        <v>19</v>
      </c>
      <c r="I142">
        <v>15</v>
      </c>
      <c r="J142">
        <v>15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9</v>
      </c>
      <c r="D145">
        <v>9</v>
      </c>
      <c r="E145">
        <v>10</v>
      </c>
      <c r="F145">
        <v>11</v>
      </c>
      <c r="G145">
        <v>9</v>
      </c>
      <c r="H145">
        <v>9</v>
      </c>
      <c r="I145">
        <v>1</v>
      </c>
      <c r="J145">
        <v>1</v>
      </c>
    </row>
    <row r="146" spans="2:10">
      <c r="B146" t="s">
        <v>186</v>
      </c>
      <c r="C146">
        <v>129</v>
      </c>
      <c r="D146">
        <v>86</v>
      </c>
      <c r="E146">
        <v>128</v>
      </c>
      <c r="F146">
        <v>82</v>
      </c>
      <c r="G146">
        <v>81</v>
      </c>
      <c r="H146">
        <v>62</v>
      </c>
      <c r="I146">
        <v>51</v>
      </c>
      <c r="J146">
        <v>51</v>
      </c>
    </row>
    <row r="147" spans="2:10">
      <c r="B147" t="s">
        <v>17</v>
      </c>
      <c r="C147" s="46">
        <v>16974</v>
      </c>
      <c r="D147" s="46">
        <v>16456</v>
      </c>
      <c r="E147" s="46">
        <v>12899</v>
      </c>
      <c r="F147" s="46">
        <v>11929</v>
      </c>
      <c r="G147" s="46">
        <v>10799</v>
      </c>
      <c r="H147" s="46">
        <v>10918</v>
      </c>
      <c r="I147" s="46">
        <v>8920</v>
      </c>
      <c r="J147" s="46">
        <v>8665</v>
      </c>
    </row>
    <row r="148" spans="2:10">
      <c r="B148" t="s">
        <v>187</v>
      </c>
      <c r="C148" s="46">
        <v>6699</v>
      </c>
      <c r="D148" s="46">
        <v>5872</v>
      </c>
      <c r="E148" s="46">
        <v>6464</v>
      </c>
      <c r="F148" s="46">
        <v>6059</v>
      </c>
      <c r="G148" s="46">
        <v>5623</v>
      </c>
      <c r="H148" s="46">
        <v>5123</v>
      </c>
      <c r="I148" s="46">
        <v>5465</v>
      </c>
      <c r="J148" s="46">
        <v>4728</v>
      </c>
    </row>
    <row r="149" spans="2:10">
      <c r="B149" t="s">
        <v>195</v>
      </c>
      <c r="C149" s="46">
        <v>2409</v>
      </c>
      <c r="D149" s="46">
        <v>2310</v>
      </c>
      <c r="E149" s="46">
        <v>2301</v>
      </c>
      <c r="F149" s="46">
        <v>2292</v>
      </c>
      <c r="G149" s="46">
        <v>2260</v>
      </c>
      <c r="H149" s="46">
        <v>2258</v>
      </c>
      <c r="I149" s="46">
        <v>2177</v>
      </c>
      <c r="J149" s="46">
        <v>2052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1516</v>
      </c>
      <c r="D151" s="46">
        <v>1426</v>
      </c>
      <c r="E151" s="46">
        <v>1419</v>
      </c>
      <c r="F151" s="46">
        <v>1391</v>
      </c>
      <c r="G151" s="46">
        <v>1332</v>
      </c>
      <c r="H151" s="46">
        <v>1272</v>
      </c>
      <c r="I151" s="46">
        <v>1261</v>
      </c>
      <c r="J151">
        <v>853</v>
      </c>
    </row>
    <row r="152" spans="2:10">
      <c r="B152" t="s">
        <v>198</v>
      </c>
      <c r="C152">
        <v>618</v>
      </c>
      <c r="D152">
        <v>618</v>
      </c>
      <c r="E152">
        <v>523</v>
      </c>
      <c r="F152">
        <v>523</v>
      </c>
      <c r="G152">
        <v>523</v>
      </c>
      <c r="H152">
        <v>523</v>
      </c>
      <c r="I152">
        <v>438</v>
      </c>
      <c r="J152">
        <v>438</v>
      </c>
    </row>
    <row r="153" spans="2:10">
      <c r="B153" t="s">
        <v>199</v>
      </c>
      <c r="C153">
        <v>132</v>
      </c>
      <c r="D153">
        <v>132</v>
      </c>
      <c r="E153">
        <v>132</v>
      </c>
      <c r="F153">
        <v>132</v>
      </c>
      <c r="G153">
        <v>132</v>
      </c>
      <c r="H153">
        <v>132</v>
      </c>
      <c r="I153">
        <v>132</v>
      </c>
      <c r="J153">
        <v>132</v>
      </c>
    </row>
    <row r="154" spans="2:10">
      <c r="B154" t="s">
        <v>200</v>
      </c>
      <c r="C154" s="46">
        <v>1531</v>
      </c>
      <c r="D154" s="46">
        <v>1090</v>
      </c>
      <c r="E154" s="46">
        <v>1543</v>
      </c>
      <c r="F154" s="46">
        <v>1375</v>
      </c>
      <c r="G154" s="46">
        <v>1126</v>
      </c>
      <c r="H154">
        <v>887</v>
      </c>
      <c r="I154" s="46">
        <v>1306</v>
      </c>
      <c r="J154" s="46">
        <v>1122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2</v>
      </c>
      <c r="D156">
        <v>4</v>
      </c>
      <c r="E156">
        <v>5</v>
      </c>
      <c r="F156">
        <v>6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23673</v>
      </c>
      <c r="D157" s="46">
        <v>22328</v>
      </c>
      <c r="E157" s="46">
        <v>19363</v>
      </c>
      <c r="F157" s="46">
        <v>17988</v>
      </c>
      <c r="G157" s="46">
        <v>16421</v>
      </c>
      <c r="H157" s="46">
        <v>16041</v>
      </c>
      <c r="I157" s="46">
        <v>14385</v>
      </c>
      <c r="J157" s="46">
        <v>13393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2432</v>
      </c>
    </row>
    <row r="202" spans="2:10">
      <c r="B202" t="s">
        <v>47</v>
      </c>
    </row>
    <row r="203" spans="2:10">
      <c r="B203" t="s">
        <v>48</v>
      </c>
      <c r="C203" t="s">
        <v>1930</v>
      </c>
      <c r="D203" t="s">
        <v>225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440</v>
      </c>
      <c r="D204">
        <v>328</v>
      </c>
      <c r="E204">
        <v>167</v>
      </c>
      <c r="F204">
        <v>254</v>
      </c>
      <c r="G204">
        <v>239</v>
      </c>
      <c r="H204">
        <v>272</v>
      </c>
      <c r="I204">
        <v>184</v>
      </c>
      <c r="J204">
        <v>222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113</v>
      </c>
      <c r="D206">
        <v>105</v>
      </c>
      <c r="E206">
        <v>103</v>
      </c>
      <c r="F206">
        <v>92</v>
      </c>
      <c r="G206">
        <v>89</v>
      </c>
      <c r="H206">
        <v>85</v>
      </c>
      <c r="I206">
        <v>82</v>
      </c>
      <c r="J206">
        <v>78</v>
      </c>
    </row>
    <row r="207" spans="2:10">
      <c r="B207" t="s">
        <v>115</v>
      </c>
      <c r="C207">
        <v>15</v>
      </c>
      <c r="D207">
        <v>12</v>
      </c>
      <c r="E207">
        <v>14</v>
      </c>
      <c r="F207">
        <v>14</v>
      </c>
      <c r="G207">
        <v>14</v>
      </c>
      <c r="H207">
        <v>15</v>
      </c>
      <c r="I207">
        <v>15</v>
      </c>
      <c r="J207">
        <v>18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2</v>
      </c>
    </row>
    <row r="210" spans="2:10">
      <c r="B210" t="s">
        <v>118</v>
      </c>
      <c r="C210">
        <v>2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2</v>
      </c>
      <c r="F212">
        <v>-3</v>
      </c>
      <c r="G212">
        <v>26</v>
      </c>
      <c r="H212">
        <v>0</v>
      </c>
      <c r="I212">
        <v>0</v>
      </c>
      <c r="J212">
        <v>4</v>
      </c>
    </row>
    <row r="213" spans="2:10">
      <c r="B213" t="s">
        <v>121</v>
      </c>
      <c r="C213">
        <v>-13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-165</v>
      </c>
      <c r="D215" s="46">
        <v>-1665</v>
      </c>
      <c r="E215">
        <v>-678</v>
      </c>
      <c r="F215">
        <v>-576</v>
      </c>
      <c r="G215">
        <v>-355</v>
      </c>
      <c r="H215">
        <v>-348</v>
      </c>
      <c r="I215">
        <v>-507</v>
      </c>
      <c r="J215">
        <v>-325</v>
      </c>
    </row>
    <row r="216" spans="2:10">
      <c r="B216" t="s">
        <v>124</v>
      </c>
      <c r="C216">
        <v>-417</v>
      </c>
      <c r="D216">
        <v>-985</v>
      </c>
      <c r="E216">
        <v>-544</v>
      </c>
      <c r="F216">
        <v>-338</v>
      </c>
      <c r="G216">
        <v>-4</v>
      </c>
      <c r="H216">
        <v>-176</v>
      </c>
      <c r="I216">
        <v>-478</v>
      </c>
      <c r="J216">
        <v>-199</v>
      </c>
    </row>
    <row r="217" spans="2:10">
      <c r="B217" t="s">
        <v>125</v>
      </c>
      <c r="C217" s="46">
        <v>1285</v>
      </c>
      <c r="D217" s="46">
        <v>1689</v>
      </c>
      <c r="E217">
        <v>448</v>
      </c>
      <c r="F217">
        <v>622</v>
      </c>
      <c r="G217">
        <v>632</v>
      </c>
      <c r="H217">
        <v>481</v>
      </c>
      <c r="I217">
        <v>217</v>
      </c>
      <c r="J217">
        <v>252</v>
      </c>
    </row>
    <row r="218" spans="2:10">
      <c r="B218" t="s">
        <v>126</v>
      </c>
      <c r="C218">
        <v>302</v>
      </c>
      <c r="D218">
        <v>570</v>
      </c>
      <c r="E218">
        <v>57</v>
      </c>
      <c r="F218">
        <v>49</v>
      </c>
      <c r="G218">
        <v>-98</v>
      </c>
      <c r="H218">
        <v>215</v>
      </c>
      <c r="I218">
        <v>94</v>
      </c>
      <c r="J218">
        <v>119</v>
      </c>
    </row>
    <row r="219" spans="2:10">
      <c r="B219" t="s">
        <v>19</v>
      </c>
      <c r="C219" s="46">
        <v>1568</v>
      </c>
      <c r="D219">
        <v>74</v>
      </c>
      <c r="E219">
        <v>-442</v>
      </c>
      <c r="F219">
        <v>104</v>
      </c>
      <c r="G219">
        <v>526</v>
      </c>
      <c r="H219">
        <v>543</v>
      </c>
      <c r="I219">
        <v>-393</v>
      </c>
      <c r="J219">
        <v>172</v>
      </c>
    </row>
    <row r="220" spans="2:10">
      <c r="B220" t="s">
        <v>127</v>
      </c>
      <c r="C220">
        <v>-47</v>
      </c>
      <c r="D220">
        <v>0</v>
      </c>
      <c r="E220">
        <v>0</v>
      </c>
      <c r="F220">
        <v>25</v>
      </c>
      <c r="G220">
        <v>0</v>
      </c>
      <c r="H220">
        <v>0</v>
      </c>
      <c r="I220">
        <v>-3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4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24</v>
      </c>
      <c r="G222">
        <v>-24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3</v>
      </c>
      <c r="D223">
        <v>3</v>
      </c>
      <c r="E223">
        <v>2</v>
      </c>
      <c r="F223">
        <v>19</v>
      </c>
      <c r="G223">
        <v>42</v>
      </c>
      <c r="H223">
        <v>2</v>
      </c>
      <c r="I223">
        <v>3</v>
      </c>
      <c r="J223">
        <v>-1</v>
      </c>
    </row>
    <row r="224" spans="2:10">
      <c r="B224" t="s">
        <v>20</v>
      </c>
      <c r="C224">
        <v>-90</v>
      </c>
      <c r="D224">
        <v>-229</v>
      </c>
      <c r="E224">
        <v>-67</v>
      </c>
      <c r="F224">
        <v>-135</v>
      </c>
      <c r="G224">
        <v>-137</v>
      </c>
      <c r="H224">
        <v>-116</v>
      </c>
      <c r="I224">
        <v>-90</v>
      </c>
      <c r="J224">
        <v>-67</v>
      </c>
    </row>
    <row r="225" spans="2:10">
      <c r="B225" t="s">
        <v>130</v>
      </c>
      <c r="C225">
        <v>-40</v>
      </c>
      <c r="D225">
        <v>-75</v>
      </c>
      <c r="E225">
        <v>-12</v>
      </c>
      <c r="F225">
        <v>-3</v>
      </c>
      <c r="G225">
        <v>-2</v>
      </c>
      <c r="H225">
        <v>2</v>
      </c>
      <c r="I225">
        <v>8</v>
      </c>
      <c r="J225">
        <v>-23</v>
      </c>
    </row>
    <row r="226" spans="2:10">
      <c r="B226" t="s">
        <v>131</v>
      </c>
      <c r="C226">
        <v>-262</v>
      </c>
      <c r="D226">
        <v>-302</v>
      </c>
      <c r="E226">
        <v>-78</v>
      </c>
      <c r="F226">
        <v>-69</v>
      </c>
      <c r="G226">
        <v>-122</v>
      </c>
      <c r="H226">
        <v>-112</v>
      </c>
      <c r="I226">
        <v>-79</v>
      </c>
      <c r="J226">
        <v>-91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3</v>
      </c>
      <c r="G227">
        <v>0</v>
      </c>
      <c r="H227">
        <v>-3</v>
      </c>
      <c r="I227">
        <v>0</v>
      </c>
      <c r="J227">
        <v>0</v>
      </c>
    </row>
    <row r="228" spans="2:10">
      <c r="B228" t="s">
        <v>133</v>
      </c>
      <c r="C228">
        <v>-688</v>
      </c>
      <c r="D228">
        <v>0</v>
      </c>
      <c r="E228">
        <v>0</v>
      </c>
      <c r="F228">
        <v>0</v>
      </c>
      <c r="G228">
        <v>-606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-351</v>
      </c>
      <c r="D230">
        <v>607</v>
      </c>
      <c r="E230">
        <v>540</v>
      </c>
      <c r="F230">
        <v>317</v>
      </c>
      <c r="G230">
        <v>4</v>
      </c>
      <c r="H230">
        <v>607</v>
      </c>
      <c r="I230">
        <v>628</v>
      </c>
      <c r="J230">
        <v>-193</v>
      </c>
    </row>
    <row r="231" spans="2:10">
      <c r="B231" t="s">
        <v>136</v>
      </c>
      <c r="C231">
        <v>-3</v>
      </c>
      <c r="D231">
        <v>0</v>
      </c>
      <c r="E231">
        <v>-3</v>
      </c>
      <c r="F231">
        <v>-3</v>
      </c>
      <c r="G231">
        <v>-3</v>
      </c>
      <c r="H231">
        <v>-3</v>
      </c>
      <c r="I231">
        <v>-3</v>
      </c>
      <c r="J231">
        <v>-3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-1</v>
      </c>
      <c r="E235">
        <v>-1</v>
      </c>
      <c r="F235">
        <v>3</v>
      </c>
      <c r="G235">
        <v>0</v>
      </c>
      <c r="H235">
        <v>8</v>
      </c>
      <c r="I235">
        <v>0</v>
      </c>
      <c r="J235">
        <v>1</v>
      </c>
    </row>
    <row r="236" spans="2:10">
      <c r="B236" t="s">
        <v>141</v>
      </c>
      <c r="C236" s="46">
        <v>-1042</v>
      </c>
      <c r="D236">
        <v>605</v>
      </c>
      <c r="E236">
        <v>536</v>
      </c>
      <c r="F236">
        <v>322</v>
      </c>
      <c r="G236">
        <v>-606</v>
      </c>
      <c r="H236">
        <v>608</v>
      </c>
      <c r="I236">
        <v>625</v>
      </c>
      <c r="J236">
        <v>-192</v>
      </c>
    </row>
    <row r="237" spans="2:10">
      <c r="B237" t="s">
        <v>142</v>
      </c>
      <c r="C237">
        <v>102</v>
      </c>
      <c r="D237">
        <v>-37</v>
      </c>
      <c r="E237">
        <v>-19</v>
      </c>
      <c r="F237">
        <v>53</v>
      </c>
      <c r="G237">
        <v>49</v>
      </c>
      <c r="H237">
        <v>-28</v>
      </c>
      <c r="I237">
        <v>-11</v>
      </c>
      <c r="J237">
        <v>42</v>
      </c>
    </row>
    <row r="238" spans="2:10">
      <c r="B238" t="s">
        <v>143</v>
      </c>
      <c r="C238">
        <v>367</v>
      </c>
      <c r="D238">
        <v>341</v>
      </c>
      <c r="E238">
        <v>-3</v>
      </c>
      <c r="F238">
        <v>410</v>
      </c>
      <c r="G238">
        <v>-153</v>
      </c>
      <c r="H238" s="46">
        <v>1012</v>
      </c>
      <c r="I238">
        <v>142</v>
      </c>
      <c r="J238">
        <v>-70</v>
      </c>
    </row>
    <row r="239" spans="2:10">
      <c r="B239" t="s">
        <v>144</v>
      </c>
      <c r="C239" s="46">
        <v>5562</v>
      </c>
      <c r="D239" s="46">
        <v>5221</v>
      </c>
      <c r="E239" s="46">
        <v>5224</v>
      </c>
      <c r="F239" s="46">
        <v>4813</v>
      </c>
      <c r="G239" s="46">
        <v>4966</v>
      </c>
      <c r="H239" s="46">
        <v>3954</v>
      </c>
      <c r="I239" s="46">
        <v>3813</v>
      </c>
      <c r="J239" s="46">
        <v>3882</v>
      </c>
    </row>
    <row r="240" spans="2:10">
      <c r="B240" t="s">
        <v>145</v>
      </c>
      <c r="C240" s="46">
        <v>5929</v>
      </c>
      <c r="D240" s="46">
        <v>5562</v>
      </c>
      <c r="E240" s="46">
        <v>5221</v>
      </c>
      <c r="F240" s="46">
        <v>5224</v>
      </c>
      <c r="G240" s="46">
        <v>4813</v>
      </c>
      <c r="H240" s="46">
        <v>4966</v>
      </c>
      <c r="I240" s="46">
        <v>3954</v>
      </c>
      <c r="J240" s="46">
        <v>3813</v>
      </c>
    </row>
    <row r="241" spans="2:10">
      <c r="B241" t="s">
        <v>146</v>
      </c>
      <c r="C241">
        <v>23</v>
      </c>
      <c r="D241">
        <v>13</v>
      </c>
      <c r="E241">
        <v>32</v>
      </c>
      <c r="F241">
        <v>12</v>
      </c>
      <c r="G241">
        <v>14</v>
      </c>
      <c r="H241">
        <v>16</v>
      </c>
      <c r="I241">
        <v>6</v>
      </c>
      <c r="J241">
        <v>6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2434</v>
      </c>
    </row>
    <row r="3" spans="2:10">
      <c r="B3" t="s">
        <v>47</v>
      </c>
    </row>
    <row r="4" spans="2:10">
      <c r="B4" t="s">
        <v>48</v>
      </c>
      <c r="C4" t="s">
        <v>1930</v>
      </c>
      <c r="D4" t="s">
        <v>225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13719</v>
      </c>
      <c r="D5" s="46">
        <v>12588</v>
      </c>
      <c r="E5" s="46">
        <v>11512</v>
      </c>
      <c r="F5" s="46">
        <v>11264</v>
      </c>
      <c r="G5" s="46">
        <v>10843</v>
      </c>
      <c r="H5" s="46">
        <v>10003</v>
      </c>
      <c r="I5" s="46">
        <v>8217</v>
      </c>
      <c r="J5" s="46">
        <v>9315</v>
      </c>
    </row>
    <row r="6" spans="2:10">
      <c r="B6" t="s">
        <v>11</v>
      </c>
      <c r="C6" s="46">
        <v>11872</v>
      </c>
      <c r="D6" s="46">
        <v>11023</v>
      </c>
      <c r="E6" s="46">
        <v>9893</v>
      </c>
      <c r="F6" s="46">
        <v>9715</v>
      </c>
      <c r="G6" s="46">
        <v>9412</v>
      </c>
      <c r="H6" s="46">
        <v>8602</v>
      </c>
      <c r="I6" s="46">
        <v>7178</v>
      </c>
      <c r="J6" s="46">
        <v>8044</v>
      </c>
    </row>
    <row r="7" spans="2:10">
      <c r="B7" t="s">
        <v>55</v>
      </c>
      <c r="C7" s="46">
        <v>1847</v>
      </c>
      <c r="D7" s="46">
        <v>1565</v>
      </c>
      <c r="E7" s="46">
        <v>1619</v>
      </c>
      <c r="F7" s="46">
        <v>1549</v>
      </c>
      <c r="G7" s="46">
        <v>1431</v>
      </c>
      <c r="H7" s="46">
        <v>1401</v>
      </c>
      <c r="I7" s="46">
        <v>1039</v>
      </c>
      <c r="J7" s="46">
        <v>1271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1847</v>
      </c>
      <c r="D9" s="46">
        <v>1565</v>
      </c>
      <c r="E9" s="46">
        <v>1619</v>
      </c>
      <c r="F9" s="46">
        <v>1549</v>
      </c>
      <c r="G9" s="46">
        <v>1431</v>
      </c>
      <c r="H9" s="46">
        <v>1401</v>
      </c>
      <c r="I9" s="46">
        <v>1039</v>
      </c>
      <c r="J9" s="46">
        <v>1271</v>
      </c>
    </row>
    <row r="10" spans="2:10">
      <c r="B10" t="s">
        <v>58</v>
      </c>
      <c r="C10" s="46">
        <v>1215</v>
      </c>
      <c r="D10" s="46">
        <v>1114</v>
      </c>
      <c r="E10" s="46">
        <v>1034</v>
      </c>
      <c r="F10" s="46">
        <v>1064</v>
      </c>
      <c r="G10">
        <v>958</v>
      </c>
      <c r="H10">
        <v>953</v>
      </c>
      <c r="I10">
        <v>737</v>
      </c>
      <c r="J10">
        <v>883</v>
      </c>
    </row>
    <row r="11" spans="2:10">
      <c r="B11" t="s">
        <v>59</v>
      </c>
      <c r="C11">
        <v>430</v>
      </c>
      <c r="D11">
        <v>394</v>
      </c>
      <c r="E11">
        <v>371</v>
      </c>
      <c r="F11">
        <v>383</v>
      </c>
      <c r="G11">
        <v>343</v>
      </c>
      <c r="H11">
        <v>307</v>
      </c>
      <c r="I11">
        <v>228</v>
      </c>
      <c r="J11">
        <v>325</v>
      </c>
    </row>
    <row r="12" spans="2:10">
      <c r="B12" t="s">
        <v>60</v>
      </c>
      <c r="C12">
        <v>238</v>
      </c>
      <c r="D12">
        <v>229</v>
      </c>
      <c r="E12">
        <v>208</v>
      </c>
      <c r="F12">
        <v>228</v>
      </c>
      <c r="G12">
        <v>181</v>
      </c>
      <c r="H12">
        <v>225</v>
      </c>
      <c r="I12">
        <v>171</v>
      </c>
      <c r="J12">
        <v>165</v>
      </c>
    </row>
    <row r="13" spans="2:10">
      <c r="B13" t="s">
        <v>61</v>
      </c>
      <c r="C13">
        <v>546</v>
      </c>
      <c r="D13">
        <v>492</v>
      </c>
      <c r="E13">
        <v>455</v>
      </c>
      <c r="F13">
        <v>453</v>
      </c>
      <c r="G13">
        <v>434</v>
      </c>
      <c r="H13">
        <v>422</v>
      </c>
      <c r="I13">
        <v>338</v>
      </c>
      <c r="J13">
        <v>394</v>
      </c>
    </row>
    <row r="14" spans="2:10">
      <c r="B14" t="s">
        <v>62</v>
      </c>
      <c r="C14">
        <v>632</v>
      </c>
      <c r="D14">
        <v>451</v>
      </c>
      <c r="E14">
        <v>585</v>
      </c>
      <c r="F14">
        <v>486</v>
      </c>
      <c r="G14">
        <v>473</v>
      </c>
      <c r="H14">
        <v>448</v>
      </c>
      <c r="I14">
        <v>302</v>
      </c>
      <c r="J14">
        <v>387</v>
      </c>
    </row>
    <row r="15" spans="2:10">
      <c r="B15" t="s">
        <v>63</v>
      </c>
      <c r="C15">
        <v>6</v>
      </c>
      <c r="D15">
        <v>6</v>
      </c>
      <c r="E15">
        <v>6</v>
      </c>
      <c r="F15">
        <v>6</v>
      </c>
      <c r="G15">
        <v>6</v>
      </c>
      <c r="H15">
        <v>12</v>
      </c>
      <c r="I15">
        <v>11</v>
      </c>
      <c r="J15">
        <v>10</v>
      </c>
    </row>
    <row r="16" spans="2:10">
      <c r="B16" t="s">
        <v>64</v>
      </c>
      <c r="C16">
        <v>6</v>
      </c>
      <c r="D16">
        <v>2</v>
      </c>
      <c r="E16">
        <v>2</v>
      </c>
      <c r="F16">
        <v>2</v>
      </c>
      <c r="G16">
        <v>4</v>
      </c>
      <c r="H16">
        <v>3</v>
      </c>
      <c r="I16">
        <v>3</v>
      </c>
      <c r="J16">
        <v>2</v>
      </c>
    </row>
    <row r="17" spans="2:10">
      <c r="B17" t="s">
        <v>65</v>
      </c>
      <c r="C17">
        <v>3</v>
      </c>
      <c r="D17">
        <v>2</v>
      </c>
      <c r="E17">
        <v>2</v>
      </c>
      <c r="F17">
        <v>2</v>
      </c>
      <c r="G17">
        <v>4</v>
      </c>
      <c r="H17">
        <v>8</v>
      </c>
      <c r="I17">
        <v>3</v>
      </c>
      <c r="J17">
        <v>3</v>
      </c>
    </row>
    <row r="18" spans="2:10">
      <c r="B18" t="s">
        <v>66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145</v>
      </c>
      <c r="D25">
        <v>0</v>
      </c>
      <c r="E25">
        <v>0</v>
      </c>
      <c r="F25">
        <v>20</v>
      </c>
      <c r="G25">
        <v>0</v>
      </c>
      <c r="H25">
        <v>-1</v>
      </c>
      <c r="I25">
        <v>1</v>
      </c>
      <c r="J25">
        <v>22</v>
      </c>
    </row>
    <row r="26" spans="2:10">
      <c r="B26" t="s">
        <v>74</v>
      </c>
      <c r="C26">
        <v>4</v>
      </c>
      <c r="D26">
        <v>51</v>
      </c>
      <c r="E26">
        <v>11</v>
      </c>
      <c r="F26">
        <v>7</v>
      </c>
      <c r="G26">
        <v>2</v>
      </c>
      <c r="H26">
        <v>19</v>
      </c>
      <c r="I26">
        <v>10</v>
      </c>
      <c r="J26">
        <v>11</v>
      </c>
    </row>
    <row r="27" spans="2:10">
      <c r="B27" t="s">
        <v>75</v>
      </c>
      <c r="C27">
        <v>165</v>
      </c>
      <c r="D27">
        <v>60</v>
      </c>
      <c r="E27">
        <v>22</v>
      </c>
      <c r="F27">
        <v>37</v>
      </c>
      <c r="G27">
        <v>16</v>
      </c>
      <c r="H27">
        <v>41</v>
      </c>
      <c r="I27">
        <v>28</v>
      </c>
      <c r="J27">
        <v>47</v>
      </c>
    </row>
    <row r="28" spans="2:10">
      <c r="B28" t="s">
        <v>76</v>
      </c>
      <c r="C28">
        <v>7</v>
      </c>
      <c r="D28">
        <v>7</v>
      </c>
      <c r="E28">
        <v>7</v>
      </c>
      <c r="F28">
        <v>7</v>
      </c>
      <c r="G28">
        <v>7</v>
      </c>
      <c r="H28">
        <v>18</v>
      </c>
      <c r="I28">
        <v>18</v>
      </c>
      <c r="J28">
        <v>16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-1</v>
      </c>
      <c r="G33">
        <v>1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-11</v>
      </c>
      <c r="D38">
        <v>-3</v>
      </c>
      <c r="E38">
        <v>14</v>
      </c>
      <c r="F38">
        <v>-12</v>
      </c>
      <c r="G38">
        <v>1</v>
      </c>
      <c r="H38">
        <v>11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11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7</v>
      </c>
      <c r="D41">
        <v>4</v>
      </c>
      <c r="E41">
        <v>21</v>
      </c>
      <c r="F41">
        <v>-6</v>
      </c>
      <c r="G41">
        <v>10</v>
      </c>
      <c r="H41">
        <v>29</v>
      </c>
      <c r="I41">
        <v>18</v>
      </c>
      <c r="J41">
        <v>17</v>
      </c>
    </row>
    <row r="42" spans="2:10">
      <c r="B42" t="s">
        <v>90</v>
      </c>
      <c r="C42">
        <v>789</v>
      </c>
      <c r="D42">
        <v>507</v>
      </c>
      <c r="E42">
        <v>585</v>
      </c>
      <c r="F42">
        <v>528</v>
      </c>
      <c r="G42">
        <v>480</v>
      </c>
      <c r="H42">
        <v>460</v>
      </c>
      <c r="I42">
        <v>312</v>
      </c>
      <c r="J42">
        <v>418</v>
      </c>
    </row>
    <row r="43" spans="2:10">
      <c r="B43" t="s">
        <v>91</v>
      </c>
      <c r="C43">
        <v>184</v>
      </c>
      <c r="D43">
        <v>111</v>
      </c>
      <c r="E43">
        <v>124</v>
      </c>
      <c r="F43">
        <v>130</v>
      </c>
      <c r="G43">
        <v>118</v>
      </c>
      <c r="H43">
        <v>89</v>
      </c>
      <c r="I43">
        <v>66</v>
      </c>
      <c r="J43">
        <v>109</v>
      </c>
    </row>
    <row r="44" spans="2:10">
      <c r="B44" t="s">
        <v>92</v>
      </c>
      <c r="C44">
        <v>605</v>
      </c>
      <c r="D44">
        <v>396</v>
      </c>
      <c r="E44">
        <v>461</v>
      </c>
      <c r="F44">
        <v>398</v>
      </c>
      <c r="G44">
        <v>361</v>
      </c>
      <c r="H44">
        <v>371</v>
      </c>
      <c r="I44">
        <v>246</v>
      </c>
      <c r="J44">
        <v>309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605</v>
      </c>
      <c r="D48">
        <v>396</v>
      </c>
      <c r="E48">
        <v>461</v>
      </c>
      <c r="F48">
        <v>398</v>
      </c>
      <c r="G48">
        <v>361</v>
      </c>
      <c r="H48">
        <v>371</v>
      </c>
      <c r="I48">
        <v>246</v>
      </c>
      <c r="J48">
        <v>309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605</v>
      </c>
      <c r="D52">
        <v>396</v>
      </c>
      <c r="E52">
        <v>461</v>
      </c>
      <c r="F52">
        <v>398</v>
      </c>
      <c r="G52">
        <v>361</v>
      </c>
      <c r="H52">
        <v>371</v>
      </c>
      <c r="I52">
        <v>246</v>
      </c>
      <c r="J52">
        <v>309</v>
      </c>
    </row>
    <row r="53" spans="2:10">
      <c r="B53" t="s">
        <v>14</v>
      </c>
      <c r="C53">
        <v>1.83</v>
      </c>
      <c r="D53">
        <v>1.22</v>
      </c>
      <c r="E53">
        <v>1.43</v>
      </c>
      <c r="F53">
        <v>1.24</v>
      </c>
      <c r="G53">
        <v>1.1200000000000001</v>
      </c>
      <c r="H53">
        <v>1.18</v>
      </c>
      <c r="I53">
        <v>0.78</v>
      </c>
      <c r="J53">
        <v>0.98</v>
      </c>
    </row>
    <row r="54" spans="2:10">
      <c r="B54" t="s">
        <v>101</v>
      </c>
      <c r="C54">
        <v>1.79</v>
      </c>
      <c r="D54">
        <v>1.2</v>
      </c>
      <c r="E54">
        <v>1.4</v>
      </c>
      <c r="F54" t="s">
        <v>98</v>
      </c>
      <c r="G54">
        <v>1.1000000000000001</v>
      </c>
      <c r="H54">
        <v>1.1299999999999999</v>
      </c>
      <c r="I54">
        <v>0.75</v>
      </c>
      <c r="J54" t="s">
        <v>98</v>
      </c>
    </row>
    <row r="55" spans="2:10">
      <c r="B55" t="s">
        <v>102</v>
      </c>
      <c r="C55" s="46">
        <v>3303</v>
      </c>
      <c r="D55" s="46">
        <v>3237</v>
      </c>
      <c r="E55" s="46">
        <v>3237</v>
      </c>
      <c r="F55" s="46">
        <v>3215</v>
      </c>
      <c r="G55" s="46">
        <v>3212</v>
      </c>
      <c r="H55" s="46">
        <v>3147</v>
      </c>
      <c r="I55" s="46">
        <v>3146</v>
      </c>
      <c r="J55" s="46">
        <v>3138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796</v>
      </c>
      <c r="D60">
        <v>515</v>
      </c>
      <c r="E60">
        <v>593</v>
      </c>
      <c r="F60">
        <v>536</v>
      </c>
      <c r="G60">
        <v>487</v>
      </c>
      <c r="H60">
        <v>478</v>
      </c>
      <c r="I60">
        <v>330</v>
      </c>
      <c r="J60">
        <v>434</v>
      </c>
    </row>
    <row r="61" spans="2:10">
      <c r="B61" t="s">
        <v>108</v>
      </c>
      <c r="C61" s="46">
        <v>1090</v>
      </c>
      <c r="D61">
        <v>795</v>
      </c>
      <c r="E61">
        <v>869</v>
      </c>
      <c r="F61">
        <v>797</v>
      </c>
      <c r="G61">
        <v>735</v>
      </c>
      <c r="H61">
        <v>718</v>
      </c>
      <c r="I61">
        <v>577</v>
      </c>
      <c r="J61">
        <v>681</v>
      </c>
    </row>
    <row r="62" spans="2:10">
      <c r="B62" t="s">
        <v>109</v>
      </c>
      <c r="C62">
        <v>601</v>
      </c>
      <c r="D62">
        <v>395</v>
      </c>
      <c r="E62">
        <v>458</v>
      </c>
      <c r="F62">
        <v>395</v>
      </c>
      <c r="G62">
        <v>358</v>
      </c>
      <c r="H62">
        <v>363</v>
      </c>
      <c r="I62">
        <v>243</v>
      </c>
      <c r="J62">
        <v>306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2435</v>
      </c>
    </row>
    <row r="102" spans="2:10">
      <c r="B102" t="s">
        <v>47</v>
      </c>
    </row>
    <row r="103" spans="2:10">
      <c r="B103" t="s">
        <v>48</v>
      </c>
      <c r="C103" t="s">
        <v>1930</v>
      </c>
      <c r="D103" t="s">
        <v>225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4163</v>
      </c>
      <c r="D104" s="46">
        <v>4135</v>
      </c>
      <c r="E104" s="46">
        <v>4160</v>
      </c>
      <c r="F104" s="46">
        <v>4230</v>
      </c>
      <c r="G104" s="46">
        <v>3924</v>
      </c>
      <c r="H104" s="46">
        <v>4792</v>
      </c>
      <c r="I104" s="46">
        <v>5775</v>
      </c>
      <c r="J104" s="46">
        <v>5408</v>
      </c>
    </row>
    <row r="105" spans="2:10">
      <c r="B105" t="s">
        <v>153</v>
      </c>
      <c r="C105">
        <v>655</v>
      </c>
      <c r="D105">
        <v>886</v>
      </c>
      <c r="E105">
        <v>961</v>
      </c>
      <c r="F105" s="46">
        <v>1220</v>
      </c>
      <c r="G105" s="46">
        <v>1154</v>
      </c>
      <c r="H105" s="46">
        <v>1379</v>
      </c>
      <c r="I105" s="46">
        <v>2334</v>
      </c>
      <c r="J105" s="46">
        <v>2461</v>
      </c>
    </row>
    <row r="106" spans="2:10">
      <c r="B106" t="s">
        <v>190</v>
      </c>
      <c r="C106" s="46">
        <v>9476</v>
      </c>
      <c r="D106" s="46">
        <v>8516</v>
      </c>
      <c r="E106" s="46">
        <v>7519</v>
      </c>
      <c r="F106" s="46">
        <v>7511</v>
      </c>
      <c r="G106" s="46">
        <v>7688</v>
      </c>
      <c r="H106" s="46">
        <v>7093</v>
      </c>
      <c r="I106" s="46">
        <v>5477</v>
      </c>
      <c r="J106" s="46">
        <v>5530</v>
      </c>
    </row>
    <row r="107" spans="2:10">
      <c r="B107" t="s">
        <v>154</v>
      </c>
      <c r="C107">
        <v>0</v>
      </c>
      <c r="D107">
        <v>43</v>
      </c>
      <c r="E107">
        <v>37</v>
      </c>
      <c r="F107">
        <v>0</v>
      </c>
      <c r="G107">
        <v>0</v>
      </c>
      <c r="H107">
        <v>39</v>
      </c>
      <c r="I107">
        <v>37</v>
      </c>
      <c r="J107">
        <v>0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6389</v>
      </c>
      <c r="D109" s="46">
        <v>4631</v>
      </c>
      <c r="E109" s="46">
        <v>5443</v>
      </c>
      <c r="F109" s="46">
        <v>4468</v>
      </c>
      <c r="G109" s="46">
        <v>3807</v>
      </c>
      <c r="H109" s="46">
        <v>2870</v>
      </c>
      <c r="I109" s="46">
        <v>2791</v>
      </c>
      <c r="J109" s="46">
        <v>3139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2:10">
      <c r="B112" t="s">
        <v>156</v>
      </c>
      <c r="C112">
        <v>240</v>
      </c>
      <c r="D112">
        <v>251</v>
      </c>
      <c r="E112">
        <v>351</v>
      </c>
      <c r="F112">
        <v>336</v>
      </c>
      <c r="G112">
        <v>208</v>
      </c>
      <c r="H112">
        <v>171</v>
      </c>
      <c r="I112">
        <v>152</v>
      </c>
      <c r="J112">
        <v>220</v>
      </c>
    </row>
    <row r="113" spans="2:10">
      <c r="B113" t="s">
        <v>157</v>
      </c>
      <c r="C113" s="46">
        <v>20993</v>
      </c>
      <c r="D113" s="46">
        <v>18469</v>
      </c>
      <c r="E113" s="46">
        <v>18478</v>
      </c>
      <c r="F113" s="46">
        <v>17822</v>
      </c>
      <c r="G113" s="46">
        <v>16839</v>
      </c>
      <c r="H113" s="46">
        <v>16352</v>
      </c>
      <c r="I113" s="46">
        <v>16576</v>
      </c>
      <c r="J113" s="46">
        <v>16797</v>
      </c>
    </row>
    <row r="114" spans="2:10">
      <c r="B114" t="s">
        <v>158</v>
      </c>
      <c r="C114">
        <v>303</v>
      </c>
      <c r="D114">
        <v>306</v>
      </c>
      <c r="E114">
        <v>311</v>
      </c>
      <c r="F114">
        <v>310</v>
      </c>
      <c r="G114">
        <v>258</v>
      </c>
      <c r="H114">
        <v>251</v>
      </c>
      <c r="I114">
        <v>257</v>
      </c>
      <c r="J114">
        <v>484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 s="46">
        <v>4037</v>
      </c>
      <c r="D116" s="46">
        <v>3944</v>
      </c>
      <c r="E116" s="46">
        <v>3975</v>
      </c>
      <c r="F116" s="46">
        <v>3973</v>
      </c>
      <c r="G116" s="46">
        <v>3895</v>
      </c>
      <c r="H116" s="46">
        <v>3843</v>
      </c>
      <c r="I116" s="46">
        <v>3866</v>
      </c>
      <c r="J116" s="46">
        <v>3511</v>
      </c>
    </row>
    <row r="117" spans="2:10">
      <c r="B117" t="s">
        <v>161</v>
      </c>
      <c r="C117" s="46">
        <v>5664</v>
      </c>
      <c r="D117" s="46">
        <v>5110</v>
      </c>
      <c r="E117" s="46">
        <v>4984</v>
      </c>
      <c r="F117" s="46">
        <v>4876</v>
      </c>
      <c r="G117" s="46">
        <v>4573</v>
      </c>
      <c r="H117" s="46">
        <v>4335</v>
      </c>
      <c r="I117" s="46">
        <v>4391</v>
      </c>
      <c r="J117" s="46">
        <v>4324</v>
      </c>
    </row>
    <row r="118" spans="2:10">
      <c r="B118" t="s">
        <v>162</v>
      </c>
      <c r="C118" s="46">
        <v>1670</v>
      </c>
      <c r="D118" s="46">
        <v>1519</v>
      </c>
      <c r="E118" s="46">
        <v>1472</v>
      </c>
      <c r="F118" s="46">
        <v>1428</v>
      </c>
      <c r="G118" s="46">
        <v>1362</v>
      </c>
      <c r="H118" s="46">
        <v>1309</v>
      </c>
      <c r="I118" s="46">
        <v>1295</v>
      </c>
      <c r="J118" s="46">
        <v>1252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-6127</v>
      </c>
      <c r="D120" s="46">
        <v>-5816</v>
      </c>
      <c r="E120" s="46">
        <v>-5692</v>
      </c>
      <c r="F120" s="46">
        <v>-5498</v>
      </c>
      <c r="G120" s="46">
        <v>-5169</v>
      </c>
      <c r="H120" s="46">
        <v>-4897</v>
      </c>
      <c r="I120" s="46">
        <v>-4797</v>
      </c>
      <c r="J120" s="46">
        <v>-4536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578</v>
      </c>
      <c r="D122">
        <v>654</v>
      </c>
      <c r="E122">
        <v>514</v>
      </c>
      <c r="F122">
        <v>453</v>
      </c>
      <c r="G122">
        <v>353</v>
      </c>
      <c r="H122">
        <v>177</v>
      </c>
      <c r="I122">
        <v>103</v>
      </c>
      <c r="J122">
        <v>119</v>
      </c>
    </row>
    <row r="123" spans="2:10">
      <c r="B123" t="s">
        <v>167</v>
      </c>
      <c r="C123" s="46">
        <v>5822</v>
      </c>
      <c r="D123" s="46">
        <v>5412</v>
      </c>
      <c r="E123" s="46">
        <v>5253</v>
      </c>
      <c r="F123" s="46">
        <v>5233</v>
      </c>
      <c r="G123" s="46">
        <v>5013</v>
      </c>
      <c r="H123" s="46">
        <v>4767</v>
      </c>
      <c r="I123" s="46">
        <v>4859</v>
      </c>
      <c r="J123" s="46">
        <v>4670</v>
      </c>
    </row>
    <row r="124" spans="2:10">
      <c r="B124" t="s">
        <v>168</v>
      </c>
      <c r="C124">
        <v>163</v>
      </c>
      <c r="D124">
        <v>161</v>
      </c>
      <c r="E124">
        <v>161</v>
      </c>
      <c r="F124">
        <v>163</v>
      </c>
      <c r="G124">
        <v>136</v>
      </c>
      <c r="H124">
        <v>135</v>
      </c>
      <c r="I124">
        <v>136</v>
      </c>
      <c r="J124">
        <v>136</v>
      </c>
    </row>
    <row r="125" spans="2:10">
      <c r="B125" t="s">
        <v>169</v>
      </c>
      <c r="C125">
        <v>82</v>
      </c>
      <c r="D125">
        <v>71</v>
      </c>
      <c r="E125">
        <v>52</v>
      </c>
      <c r="F125">
        <v>60</v>
      </c>
      <c r="G125">
        <v>69</v>
      </c>
      <c r="H125">
        <v>65</v>
      </c>
      <c r="I125">
        <v>68</v>
      </c>
      <c r="J125">
        <v>57</v>
      </c>
    </row>
    <row r="126" spans="2:10">
      <c r="B126" t="s">
        <v>170</v>
      </c>
      <c r="C126">
        <v>400</v>
      </c>
      <c r="D126">
        <v>258</v>
      </c>
      <c r="E126">
        <v>356</v>
      </c>
      <c r="F126">
        <v>242</v>
      </c>
      <c r="G126">
        <v>289</v>
      </c>
      <c r="H126">
        <v>242</v>
      </c>
      <c r="I126">
        <v>224</v>
      </c>
      <c r="J126">
        <v>126</v>
      </c>
    </row>
    <row r="127" spans="2:10">
      <c r="B127" t="s">
        <v>171</v>
      </c>
      <c r="C127">
        <v>646</v>
      </c>
      <c r="D127">
        <v>490</v>
      </c>
      <c r="E127">
        <v>569</v>
      </c>
      <c r="F127">
        <v>465</v>
      </c>
      <c r="G127">
        <v>494</v>
      </c>
      <c r="H127">
        <v>442</v>
      </c>
      <c r="I127">
        <v>428</v>
      </c>
      <c r="J127">
        <v>319</v>
      </c>
    </row>
    <row r="128" spans="2:10">
      <c r="B128" t="s">
        <v>18</v>
      </c>
      <c r="C128" s="46">
        <v>27763</v>
      </c>
      <c r="D128" s="46">
        <v>24678</v>
      </c>
      <c r="E128" s="46">
        <v>24611</v>
      </c>
      <c r="F128" s="46">
        <v>23829</v>
      </c>
      <c r="G128" s="46">
        <v>22604</v>
      </c>
      <c r="H128" s="46">
        <v>21813</v>
      </c>
      <c r="I128" s="46">
        <v>22120</v>
      </c>
      <c r="J128" s="46">
        <v>22270</v>
      </c>
    </row>
    <row r="129" spans="2:10">
      <c r="B129" t="s">
        <v>193</v>
      </c>
      <c r="C129" s="46">
        <v>2295</v>
      </c>
      <c r="D129" s="46">
        <v>2317</v>
      </c>
      <c r="E129" s="46">
        <v>2197</v>
      </c>
      <c r="F129" s="46">
        <v>2025</v>
      </c>
      <c r="G129" s="46">
        <v>2157</v>
      </c>
      <c r="H129" s="46">
        <v>2184</v>
      </c>
      <c r="I129" s="46">
        <v>2749</v>
      </c>
      <c r="J129" s="46">
        <v>2251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10127</v>
      </c>
      <c r="D131" s="46">
        <v>7375</v>
      </c>
      <c r="E131" s="46">
        <v>7907</v>
      </c>
      <c r="F131" s="46">
        <v>7569</v>
      </c>
      <c r="G131" s="46">
        <v>7256</v>
      </c>
      <c r="H131" s="46">
        <v>6055</v>
      </c>
      <c r="I131" s="46">
        <v>4732</v>
      </c>
      <c r="J131" s="46">
        <v>5161</v>
      </c>
    </row>
    <row r="132" spans="2:10">
      <c r="B132" t="s">
        <v>172</v>
      </c>
      <c r="C132" s="46">
        <v>1965</v>
      </c>
      <c r="D132" s="46">
        <v>1731</v>
      </c>
      <c r="E132" s="46">
        <v>1671</v>
      </c>
      <c r="F132" s="46">
        <v>1794</v>
      </c>
      <c r="G132" s="46">
        <v>1507</v>
      </c>
      <c r="H132" s="46">
        <v>1400</v>
      </c>
      <c r="I132" s="46">
        <v>1221</v>
      </c>
      <c r="J132" s="46">
        <v>1713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0</v>
      </c>
      <c r="D134">
        <v>888</v>
      </c>
      <c r="E134">
        <v>0</v>
      </c>
      <c r="F134">
        <v>0</v>
      </c>
      <c r="G134">
        <v>0</v>
      </c>
      <c r="H134">
        <v>965</v>
      </c>
      <c r="I134">
        <v>0</v>
      </c>
      <c r="J134">
        <v>0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 s="46">
        <v>1494</v>
      </c>
      <c r="J136" s="46">
        <v>1488</v>
      </c>
    </row>
    <row r="137" spans="2:10">
      <c r="B137" t="s">
        <v>177</v>
      </c>
      <c r="C137">
        <v>888</v>
      </c>
      <c r="D137">
        <v>731</v>
      </c>
      <c r="E137">
        <v>693</v>
      </c>
      <c r="F137">
        <v>726</v>
      </c>
      <c r="G137">
        <v>608</v>
      </c>
      <c r="H137">
        <v>619</v>
      </c>
      <c r="I137">
        <v>733</v>
      </c>
      <c r="J137">
        <v>725</v>
      </c>
    </row>
    <row r="138" spans="2:10">
      <c r="B138" t="s">
        <v>178</v>
      </c>
      <c r="C138" s="46">
        <v>15275</v>
      </c>
      <c r="D138" s="46">
        <v>13042</v>
      </c>
      <c r="E138" s="46">
        <v>12467</v>
      </c>
      <c r="F138" s="46">
        <v>12115</v>
      </c>
      <c r="G138" s="46">
        <v>11530</v>
      </c>
      <c r="H138" s="46">
        <v>11223</v>
      </c>
      <c r="I138" s="46">
        <v>10930</v>
      </c>
      <c r="J138" s="46">
        <v>11339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19</v>
      </c>
      <c r="F141">
        <v>21</v>
      </c>
      <c r="G141">
        <v>0</v>
      </c>
      <c r="H141">
        <v>0</v>
      </c>
      <c r="I141">
        <v>19</v>
      </c>
      <c r="J141">
        <v>21</v>
      </c>
    </row>
    <row r="142" spans="2:10">
      <c r="B142" t="s">
        <v>182</v>
      </c>
      <c r="C142">
        <v>475</v>
      </c>
      <c r="D142">
        <v>438</v>
      </c>
      <c r="E142">
        <v>448</v>
      </c>
      <c r="F142">
        <v>458</v>
      </c>
      <c r="G142">
        <v>391</v>
      </c>
      <c r="H142">
        <v>372</v>
      </c>
      <c r="I142">
        <v>385</v>
      </c>
      <c r="J142">
        <v>387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21</v>
      </c>
      <c r="D145">
        <v>23</v>
      </c>
      <c r="E145">
        <v>0</v>
      </c>
      <c r="F145">
        <v>0</v>
      </c>
      <c r="G145">
        <v>16</v>
      </c>
      <c r="H145">
        <v>18</v>
      </c>
      <c r="I145">
        <v>0</v>
      </c>
      <c r="J145">
        <v>0</v>
      </c>
    </row>
    <row r="146" spans="2:10">
      <c r="B146" t="s">
        <v>186</v>
      </c>
      <c r="C146">
        <v>496</v>
      </c>
      <c r="D146">
        <v>461</v>
      </c>
      <c r="E146">
        <v>467</v>
      </c>
      <c r="F146">
        <v>479</v>
      </c>
      <c r="G146">
        <v>408</v>
      </c>
      <c r="H146">
        <v>390</v>
      </c>
      <c r="I146">
        <v>404</v>
      </c>
      <c r="J146">
        <v>409</v>
      </c>
    </row>
    <row r="147" spans="2:10">
      <c r="B147" t="s">
        <v>17</v>
      </c>
      <c r="C147" s="46">
        <v>15771</v>
      </c>
      <c r="D147" s="46">
        <v>13503</v>
      </c>
      <c r="E147" s="46">
        <v>12934</v>
      </c>
      <c r="F147" s="46">
        <v>12594</v>
      </c>
      <c r="G147" s="46">
        <v>11937</v>
      </c>
      <c r="H147" s="46">
        <v>11613</v>
      </c>
      <c r="I147" s="46">
        <v>11334</v>
      </c>
      <c r="J147" s="46">
        <v>11748</v>
      </c>
    </row>
    <row r="148" spans="2:10">
      <c r="B148" t="s">
        <v>187</v>
      </c>
      <c r="C148" s="46">
        <v>11992</v>
      </c>
      <c r="D148" s="46">
        <v>11174</v>
      </c>
      <c r="E148" s="46">
        <v>11677</v>
      </c>
      <c r="F148" s="46">
        <v>11235</v>
      </c>
      <c r="G148" s="46">
        <v>10667</v>
      </c>
      <c r="H148" s="46">
        <v>10199</v>
      </c>
      <c r="I148" s="46">
        <v>10786</v>
      </c>
      <c r="J148" s="46">
        <v>10523</v>
      </c>
    </row>
    <row r="149" spans="2:10">
      <c r="B149" t="s">
        <v>195</v>
      </c>
      <c r="C149" s="46">
        <v>3353</v>
      </c>
      <c r="D149" s="46">
        <v>3288</v>
      </c>
      <c r="E149" s="46">
        <v>3288</v>
      </c>
      <c r="F149" s="46">
        <v>3288</v>
      </c>
      <c r="G149" s="46">
        <v>3286</v>
      </c>
      <c r="H149" s="46">
        <v>3218</v>
      </c>
      <c r="I149" s="46">
        <v>3216</v>
      </c>
      <c r="J149" s="46">
        <v>3213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2370</v>
      </c>
      <c r="D151" s="46">
        <v>2370</v>
      </c>
      <c r="E151" s="46">
        <v>2370</v>
      </c>
      <c r="F151" s="46">
        <v>2370</v>
      </c>
      <c r="G151" s="46">
        <v>2234</v>
      </c>
      <c r="H151" s="46">
        <v>2234</v>
      </c>
      <c r="I151" s="46">
        <v>2287</v>
      </c>
      <c r="J151" s="46">
        <v>2213</v>
      </c>
    </row>
    <row r="152" spans="2:10">
      <c r="B152" t="s">
        <v>198</v>
      </c>
      <c r="C152" s="46">
        <v>1395</v>
      </c>
      <c r="D152" s="46">
        <v>1395</v>
      </c>
      <c r="E152" s="46">
        <v>1258</v>
      </c>
      <c r="F152" s="46">
        <v>1258</v>
      </c>
      <c r="G152" s="46">
        <v>1258</v>
      </c>
      <c r="H152" s="46">
        <v>1258</v>
      </c>
      <c r="I152" s="46">
        <v>1106</v>
      </c>
      <c r="J152" s="46">
        <v>1106</v>
      </c>
    </row>
    <row r="153" spans="2:10">
      <c r="B153" t="s">
        <v>199</v>
      </c>
      <c r="C153">
        <v>108</v>
      </c>
      <c r="D153">
        <v>108</v>
      </c>
      <c r="E153">
        <v>108</v>
      </c>
      <c r="F153">
        <v>108</v>
      </c>
      <c r="G153">
        <v>108</v>
      </c>
      <c r="H153">
        <v>108</v>
      </c>
      <c r="I153">
        <v>108</v>
      </c>
      <c r="J153">
        <v>108</v>
      </c>
    </row>
    <row r="154" spans="2:10">
      <c r="B154" t="s">
        <v>200</v>
      </c>
      <c r="C154" s="46">
        <v>4522</v>
      </c>
      <c r="D154" s="46">
        <v>3917</v>
      </c>
      <c r="E154" s="46">
        <v>4612</v>
      </c>
      <c r="F154" s="46">
        <v>4150</v>
      </c>
      <c r="G154" s="46">
        <v>3756</v>
      </c>
      <c r="H154" s="46">
        <v>3418</v>
      </c>
      <c r="I154" s="46">
        <v>4206</v>
      </c>
      <c r="J154" s="46">
        <v>3959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27763</v>
      </c>
      <c r="D157" s="46">
        <v>24678</v>
      </c>
      <c r="E157" s="46">
        <v>24611</v>
      </c>
      <c r="F157" s="46">
        <v>23829</v>
      </c>
      <c r="G157" s="46">
        <v>22604</v>
      </c>
      <c r="H157" s="46">
        <v>21813</v>
      </c>
      <c r="I157" s="46">
        <v>22120</v>
      </c>
      <c r="J157" s="46">
        <v>22270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2434</v>
      </c>
    </row>
    <row r="202" spans="2:10">
      <c r="B202" t="s">
        <v>47</v>
      </c>
    </row>
    <row r="203" spans="2:10">
      <c r="B203" t="s">
        <v>48</v>
      </c>
      <c r="C203" t="s">
        <v>1930</v>
      </c>
      <c r="D203" t="s">
        <v>225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605</v>
      </c>
      <c r="D204">
        <v>396</v>
      </c>
      <c r="E204">
        <v>461</v>
      </c>
      <c r="F204">
        <v>398</v>
      </c>
      <c r="G204">
        <v>361</v>
      </c>
      <c r="H204">
        <v>371</v>
      </c>
      <c r="I204">
        <v>246</v>
      </c>
      <c r="J204">
        <v>309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280</v>
      </c>
      <c r="D206">
        <v>265</v>
      </c>
      <c r="E206">
        <v>257</v>
      </c>
      <c r="F206">
        <v>243</v>
      </c>
      <c r="G206">
        <v>231</v>
      </c>
      <c r="H206">
        <v>222</v>
      </c>
      <c r="I206">
        <v>224</v>
      </c>
      <c r="J206">
        <v>221</v>
      </c>
    </row>
    <row r="207" spans="2:10">
      <c r="B207" t="s">
        <v>115</v>
      </c>
      <c r="C207">
        <v>14</v>
      </c>
      <c r="D207">
        <v>15</v>
      </c>
      <c r="E207">
        <v>19</v>
      </c>
      <c r="F207">
        <v>19</v>
      </c>
      <c r="G207">
        <v>17</v>
      </c>
      <c r="H207">
        <v>17</v>
      </c>
      <c r="I207">
        <v>22</v>
      </c>
      <c r="J207">
        <v>26</v>
      </c>
    </row>
    <row r="208" spans="2:10">
      <c r="B208" t="s">
        <v>116</v>
      </c>
      <c r="C208">
        <v>-6</v>
      </c>
      <c r="D208">
        <v>-2</v>
      </c>
      <c r="E208">
        <v>-2</v>
      </c>
      <c r="F208">
        <v>-2</v>
      </c>
      <c r="G208">
        <v>-4</v>
      </c>
      <c r="H208">
        <v>-3</v>
      </c>
      <c r="I208">
        <v>-3</v>
      </c>
      <c r="J208">
        <v>-2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-3</v>
      </c>
      <c r="D213">
        <v>-2</v>
      </c>
      <c r="E213">
        <v>-2</v>
      </c>
      <c r="F213">
        <v>-2</v>
      </c>
      <c r="G213">
        <v>-4</v>
      </c>
      <c r="H213">
        <v>-8</v>
      </c>
      <c r="I213">
        <v>-3</v>
      </c>
      <c r="J213">
        <v>-3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-959</v>
      </c>
      <c r="D215">
        <v>-997</v>
      </c>
      <c r="E215">
        <v>-8</v>
      </c>
      <c r="F215">
        <v>177</v>
      </c>
      <c r="G215">
        <v>-595</v>
      </c>
      <c r="H215" s="46">
        <v>-1616</v>
      </c>
      <c r="I215">
        <v>53</v>
      </c>
      <c r="J215" s="46">
        <v>1154</v>
      </c>
    </row>
    <row r="216" spans="2:10">
      <c r="B216" t="s">
        <v>124</v>
      </c>
      <c r="C216" s="46">
        <v>-1758</v>
      </c>
      <c r="D216">
        <v>811</v>
      </c>
      <c r="E216">
        <v>-975</v>
      </c>
      <c r="F216">
        <v>-661</v>
      </c>
      <c r="G216">
        <v>-937</v>
      </c>
      <c r="H216">
        <v>-79</v>
      </c>
      <c r="I216">
        <v>348</v>
      </c>
      <c r="J216">
        <v>566</v>
      </c>
    </row>
    <row r="217" spans="2:10">
      <c r="B217" t="s">
        <v>125</v>
      </c>
      <c r="C217" s="46">
        <v>2753</v>
      </c>
      <c r="D217">
        <v>-532</v>
      </c>
      <c r="E217">
        <v>338</v>
      </c>
      <c r="F217">
        <v>313</v>
      </c>
      <c r="G217" s="46">
        <v>1201</v>
      </c>
      <c r="H217" s="46">
        <v>1322</v>
      </c>
      <c r="I217">
        <v>-429</v>
      </c>
      <c r="J217" s="46">
        <v>-1500</v>
      </c>
    </row>
    <row r="218" spans="2:10">
      <c r="B218" t="s">
        <v>126</v>
      </c>
      <c r="C218">
        <v>245</v>
      </c>
      <c r="D218">
        <v>319</v>
      </c>
      <c r="E218">
        <v>-329</v>
      </c>
      <c r="F218">
        <v>297</v>
      </c>
      <c r="G218">
        <v>-77</v>
      </c>
      <c r="H218">
        <v>78</v>
      </c>
      <c r="I218">
        <v>-456</v>
      </c>
      <c r="J218">
        <v>315</v>
      </c>
    </row>
    <row r="219" spans="2:10">
      <c r="B219" t="s">
        <v>19</v>
      </c>
      <c r="C219" s="46">
        <v>1207</v>
      </c>
      <c r="D219">
        <v>310</v>
      </c>
      <c r="E219">
        <v>-213</v>
      </c>
      <c r="F219">
        <v>814</v>
      </c>
      <c r="G219">
        <v>205</v>
      </c>
      <c r="H219">
        <v>378</v>
      </c>
      <c r="I219">
        <v>28</v>
      </c>
      <c r="J219" s="46">
        <v>1095</v>
      </c>
    </row>
    <row r="220" spans="2:10">
      <c r="B220" t="s">
        <v>127</v>
      </c>
      <c r="C220">
        <v>233</v>
      </c>
      <c r="D220">
        <v>76</v>
      </c>
      <c r="E220">
        <v>260</v>
      </c>
      <c r="F220">
        <v>-64</v>
      </c>
      <c r="G220">
        <v>226</v>
      </c>
      <c r="H220">
        <v>958</v>
      </c>
      <c r="I220">
        <v>130</v>
      </c>
      <c r="J220">
        <v>-34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3</v>
      </c>
    </row>
    <row r="224" spans="2:10">
      <c r="B224" t="s">
        <v>20</v>
      </c>
      <c r="C224">
        <v>-565</v>
      </c>
      <c r="D224">
        <v>-480</v>
      </c>
      <c r="E224">
        <v>-258</v>
      </c>
      <c r="F224">
        <v>-330</v>
      </c>
      <c r="G224">
        <v>-361</v>
      </c>
      <c r="H224">
        <v>-195</v>
      </c>
      <c r="I224">
        <v>-215</v>
      </c>
      <c r="J224">
        <v>-214</v>
      </c>
    </row>
    <row r="225" spans="2:10">
      <c r="B225" t="s">
        <v>130</v>
      </c>
      <c r="C225">
        <v>-3</v>
      </c>
      <c r="D225">
        <v>-28</v>
      </c>
      <c r="E225">
        <v>-11</v>
      </c>
      <c r="F225">
        <v>-8</v>
      </c>
      <c r="G225">
        <v>-21</v>
      </c>
      <c r="H225">
        <v>-9</v>
      </c>
      <c r="I225">
        <v>-34</v>
      </c>
      <c r="J225">
        <v>-29</v>
      </c>
    </row>
    <row r="226" spans="2:10">
      <c r="B226" t="s">
        <v>131</v>
      </c>
      <c r="C226">
        <v>-343</v>
      </c>
      <c r="D226">
        <v>-432</v>
      </c>
      <c r="E226">
        <v>-9</v>
      </c>
      <c r="F226">
        <v>-448</v>
      </c>
      <c r="G226">
        <v>-156</v>
      </c>
      <c r="H226">
        <v>755</v>
      </c>
      <c r="I226">
        <v>-164</v>
      </c>
      <c r="J226">
        <v>-274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-888</v>
      </c>
      <c r="D228">
        <v>0</v>
      </c>
      <c r="E228">
        <v>0</v>
      </c>
      <c r="F228">
        <v>0</v>
      </c>
      <c r="G228">
        <v>-965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-23</v>
      </c>
      <c r="D230">
        <v>120</v>
      </c>
      <c r="E230">
        <v>172</v>
      </c>
      <c r="F230">
        <v>-133</v>
      </c>
      <c r="G230">
        <v>-27</v>
      </c>
      <c r="H230">
        <v>-565</v>
      </c>
      <c r="I230">
        <v>498</v>
      </c>
      <c r="J230">
        <v>-297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 s="46">
        <v>-1500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-910</v>
      </c>
      <c r="D236">
        <v>120</v>
      </c>
      <c r="E236">
        <v>172</v>
      </c>
      <c r="F236">
        <v>-128</v>
      </c>
      <c r="G236">
        <v>-987</v>
      </c>
      <c r="H236" s="46">
        <v>-2063</v>
      </c>
      <c r="I236">
        <v>502</v>
      </c>
      <c r="J236">
        <v>-285</v>
      </c>
    </row>
    <row r="237" spans="2:10">
      <c r="B237" t="s">
        <v>142</v>
      </c>
      <c r="C237">
        <v>74</v>
      </c>
      <c r="D237">
        <v>-23</v>
      </c>
      <c r="E237">
        <v>-20</v>
      </c>
      <c r="F237">
        <v>68</v>
      </c>
      <c r="G237">
        <v>70</v>
      </c>
      <c r="H237">
        <v>-54</v>
      </c>
      <c r="I237">
        <v>1</v>
      </c>
      <c r="J237">
        <v>-6</v>
      </c>
    </row>
    <row r="238" spans="2:10">
      <c r="B238" t="s">
        <v>143</v>
      </c>
      <c r="C238">
        <v>28</v>
      </c>
      <c r="D238">
        <v>-26</v>
      </c>
      <c r="E238">
        <v>-70</v>
      </c>
      <c r="F238">
        <v>306</v>
      </c>
      <c r="G238">
        <v>-868</v>
      </c>
      <c r="H238">
        <v>-983</v>
      </c>
      <c r="I238">
        <v>367</v>
      </c>
      <c r="J238">
        <v>531</v>
      </c>
    </row>
    <row r="239" spans="2:10">
      <c r="B239" t="s">
        <v>144</v>
      </c>
      <c r="C239" s="46">
        <v>4135</v>
      </c>
      <c r="D239" s="46">
        <v>4160</v>
      </c>
      <c r="E239" s="46">
        <v>4230</v>
      </c>
      <c r="F239" s="46">
        <v>3924</v>
      </c>
      <c r="G239" s="46">
        <v>4792</v>
      </c>
      <c r="H239" s="46">
        <v>5775</v>
      </c>
      <c r="I239" s="46">
        <v>5408</v>
      </c>
      <c r="J239" s="46">
        <v>4877</v>
      </c>
    </row>
    <row r="240" spans="2:10">
      <c r="B240" t="s">
        <v>145</v>
      </c>
      <c r="C240" s="46">
        <v>4163</v>
      </c>
      <c r="D240" s="46">
        <v>4135</v>
      </c>
      <c r="E240" s="46">
        <v>4160</v>
      </c>
      <c r="F240" s="46">
        <v>4230</v>
      </c>
      <c r="G240" s="46">
        <v>3924</v>
      </c>
      <c r="H240" s="46">
        <v>4792</v>
      </c>
      <c r="I240" s="46">
        <v>5775</v>
      </c>
      <c r="J240" s="46">
        <v>5408</v>
      </c>
    </row>
    <row r="241" spans="2:10">
      <c r="B241" t="s">
        <v>146</v>
      </c>
      <c r="C241">
        <v>7</v>
      </c>
      <c r="D241">
        <v>9</v>
      </c>
      <c r="E241">
        <v>7</v>
      </c>
      <c r="F241">
        <v>7</v>
      </c>
      <c r="G241">
        <v>9</v>
      </c>
      <c r="H241">
        <v>13</v>
      </c>
      <c r="I241">
        <v>9</v>
      </c>
      <c r="J241">
        <v>9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/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241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242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239</v>
      </c>
      <c r="R4" s="32"/>
      <c r="S4" s="32"/>
      <c r="T4" s="32"/>
    </row>
    <row r="5" spans="1:20">
      <c r="A5" s="32">
        <v>1442</v>
      </c>
      <c r="B5" s="32"/>
      <c r="C5" s="32" t="s">
        <v>235</v>
      </c>
      <c r="D5" s="32" t="s">
        <v>236</v>
      </c>
      <c r="E5" s="32" t="s">
        <v>237</v>
      </c>
      <c r="F5" s="32" t="s">
        <v>238</v>
      </c>
      <c r="G5" s="32" t="s">
        <v>235</v>
      </c>
      <c r="H5" s="32" t="s">
        <v>236</v>
      </c>
      <c r="I5" s="32" t="s">
        <v>237</v>
      </c>
      <c r="J5" s="32" t="s">
        <v>238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240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>
      <selection activeCell="O24" sqref="O24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F12" sqref="F12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1085</vt:i4>
      </vt:variant>
    </vt:vector>
  </HeadingPairs>
  <TitlesOfParts>
    <vt:vector size="1106" baseType="lpstr">
      <vt:lpstr>基本設定</vt:lpstr>
      <vt:lpstr>收盤價</vt:lpstr>
      <vt:lpstr>紅綠燈</vt:lpstr>
      <vt:lpstr>公司債</vt:lpstr>
      <vt:lpstr>買進檢查表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買進檢查表!Print_Area</vt:lpstr>
      <vt:lpstr>評比系統!外部資料_1000</vt:lpstr>
      <vt:lpstr>評比系統!外部資料_1001</vt:lpstr>
      <vt:lpstr>評比系統!外部資料_1002</vt:lpstr>
      <vt:lpstr>評比系統!外部資料_1003</vt:lpstr>
      <vt:lpstr>評比系統!外部資料_1004</vt:lpstr>
      <vt:lpstr>評比系統!外部資料_1005</vt:lpstr>
      <vt:lpstr>評比系統!外部資料_1006</vt:lpstr>
      <vt:lpstr>評比系統!外部資料_1007</vt:lpstr>
      <vt:lpstr>評比系統!外部資料_1008</vt:lpstr>
      <vt:lpstr>評比系統!外部資料_1009</vt:lpstr>
      <vt:lpstr>評比系統!外部資料_101</vt:lpstr>
      <vt:lpstr>評比系統!外部資料_1010</vt:lpstr>
      <vt:lpstr>評比系統!外部資料_1011</vt:lpstr>
      <vt:lpstr>評比系統!外部資料_1012</vt:lpstr>
      <vt:lpstr>評比系統!外部資料_1013</vt:lpstr>
      <vt:lpstr>評比系統!外部資料_1014</vt:lpstr>
      <vt:lpstr>評比系統!外部資料_1015</vt:lpstr>
      <vt:lpstr>評比系統!外部資料_1016</vt:lpstr>
      <vt:lpstr>評比系統!外部資料_1017</vt:lpstr>
      <vt:lpstr>評比系統!外部資料_1018</vt:lpstr>
      <vt:lpstr>評比系統!外部資料_1019</vt:lpstr>
      <vt:lpstr>評比系統!外部資料_102</vt:lpstr>
      <vt:lpstr>評比系統!外部資料_1020</vt:lpstr>
      <vt:lpstr>評比系統!外部資料_1021</vt:lpstr>
      <vt:lpstr>評比系統!外部資料_1022</vt:lpstr>
      <vt:lpstr>評比系統!外部資料_1023</vt:lpstr>
      <vt:lpstr>評比系統!外部資料_1024</vt:lpstr>
      <vt:lpstr>評比系統!外部資料_1025</vt:lpstr>
      <vt:lpstr>評比系統!外部資料_1026</vt:lpstr>
      <vt:lpstr>評比系統!外部資料_1027</vt:lpstr>
      <vt:lpstr>評比系統!外部資料_1028</vt:lpstr>
      <vt:lpstr>評比系統!外部資料_1029</vt:lpstr>
      <vt:lpstr>評比系統!外部資料_103</vt:lpstr>
      <vt:lpstr>評比系統!外部資料_1030</vt:lpstr>
      <vt:lpstr>評比系統!外部資料_1031</vt:lpstr>
      <vt:lpstr>評比系統!外部資料_1032</vt:lpstr>
      <vt:lpstr>評比系統!外部資料_1033</vt:lpstr>
      <vt:lpstr>評比系統!外部資料_1034</vt:lpstr>
      <vt:lpstr>評比系統!外部資料_1035</vt:lpstr>
      <vt:lpstr>評比系統!外部資料_1036</vt:lpstr>
      <vt:lpstr>評比系統!外部資料_1037</vt:lpstr>
      <vt:lpstr>評比系統!外部資料_1038</vt:lpstr>
      <vt:lpstr>評比系統!外部資料_1039</vt:lpstr>
      <vt:lpstr>評比系統!外部資料_104</vt:lpstr>
      <vt:lpstr>評比系統!外部資料_1040</vt:lpstr>
      <vt:lpstr>評比系統!外部資料_1041</vt:lpstr>
      <vt:lpstr>評比系統!外部資料_1042</vt:lpstr>
      <vt:lpstr>評比系統!外部資料_1043</vt:lpstr>
      <vt:lpstr>評比系統!外部資料_1044</vt:lpstr>
      <vt:lpstr>評比系統!外部資料_1045</vt:lpstr>
      <vt:lpstr>評比系統!外部資料_1046</vt:lpstr>
      <vt:lpstr>評比系統!外部資料_1047</vt:lpstr>
      <vt:lpstr>評比系統!外部資料_1048</vt:lpstr>
      <vt:lpstr>評比系統!外部資料_1049</vt:lpstr>
      <vt:lpstr>評比系統!外部資料_105</vt:lpstr>
      <vt:lpstr>評比系統!外部資料_1050</vt:lpstr>
      <vt:lpstr>評比系統!外部資料_1051</vt:lpstr>
      <vt:lpstr>評比系統!外部資料_1052</vt:lpstr>
      <vt:lpstr>評比系統!外部資料_1053</vt:lpstr>
      <vt:lpstr>評比系統!外部資料_1054</vt:lpstr>
      <vt:lpstr>評比系統!外部資料_1055</vt:lpstr>
      <vt:lpstr>評比系統!外部資料_1056</vt:lpstr>
      <vt:lpstr>評比系統!外部資料_1057</vt:lpstr>
      <vt:lpstr>評比系統!外部資料_1058</vt:lpstr>
      <vt:lpstr>評比系統!外部資料_1059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紅綠燈!外部資料_15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評比系統!外部資料_301</vt:lpstr>
      <vt:lpstr>評比系統!外部資料_302</vt:lpstr>
      <vt:lpstr>評比系統!外部資料_303</vt:lpstr>
      <vt:lpstr>評比系統!外部資料_304</vt:lpstr>
      <vt:lpstr>評比系統!外部資料_305</vt:lpstr>
      <vt:lpstr>評比系統!外部資料_306</vt:lpstr>
      <vt:lpstr>評比系統!外部資料_307</vt:lpstr>
      <vt:lpstr>評比系統!外部資料_308</vt:lpstr>
      <vt:lpstr>評比系統!外部資料_309</vt:lpstr>
      <vt:lpstr>評比系統!外部資料_310</vt:lpstr>
      <vt:lpstr>評比系統!外部資料_311</vt:lpstr>
      <vt:lpstr>評比系統!外部資料_312</vt:lpstr>
      <vt:lpstr>評比系統!外部資料_313</vt:lpstr>
      <vt:lpstr>評比系統!外部資料_314</vt:lpstr>
      <vt:lpstr>評比系統!外部資料_315</vt:lpstr>
      <vt:lpstr>評比系統!外部資料_316</vt:lpstr>
      <vt:lpstr>評比系統!外部資料_317</vt:lpstr>
      <vt:lpstr>評比系統!外部資料_318</vt:lpstr>
      <vt:lpstr>評比系統!外部資料_319</vt:lpstr>
      <vt:lpstr>評比系統!外部資料_320</vt:lpstr>
      <vt:lpstr>評比系統!外部資料_321</vt:lpstr>
      <vt:lpstr>評比系統!外部資料_322</vt:lpstr>
      <vt:lpstr>評比系統!外部資料_323</vt:lpstr>
      <vt:lpstr>評比系統!外部資料_324</vt:lpstr>
      <vt:lpstr>評比系統!外部資料_325</vt:lpstr>
      <vt:lpstr>評比系統!外部資料_326</vt:lpstr>
      <vt:lpstr>評比系統!外部資料_327</vt:lpstr>
      <vt:lpstr>評比系統!外部資料_328</vt:lpstr>
      <vt:lpstr>評比系統!外部資料_329</vt:lpstr>
      <vt:lpstr>評比系統!外部資料_330</vt:lpstr>
      <vt:lpstr>評比系統!外部資料_331</vt:lpstr>
      <vt:lpstr>評比系統!外部資料_332</vt:lpstr>
      <vt:lpstr>評比系統!外部資料_333</vt:lpstr>
      <vt:lpstr>評比系統!外部資料_334</vt:lpstr>
      <vt:lpstr>評比系統!外部資料_335</vt:lpstr>
      <vt:lpstr>評比系統!外部資料_336</vt:lpstr>
      <vt:lpstr>評比系統!外部資料_337</vt:lpstr>
      <vt:lpstr>評比系統!外部資料_338</vt:lpstr>
      <vt:lpstr>評比系統!外部資料_339</vt:lpstr>
      <vt:lpstr>評比系統!外部資料_340</vt:lpstr>
      <vt:lpstr>評比系統!外部資料_341</vt:lpstr>
      <vt:lpstr>評比系統!外部資料_342</vt:lpstr>
      <vt:lpstr>評比系統!外部資料_343</vt:lpstr>
      <vt:lpstr>評比系統!外部資料_344</vt:lpstr>
      <vt:lpstr>評比系統!外部資料_345</vt:lpstr>
      <vt:lpstr>評比系統!外部資料_346</vt:lpstr>
      <vt:lpstr>篩股系統!外部資料_346</vt:lpstr>
      <vt:lpstr>評比系統!外部資料_347</vt:lpstr>
      <vt:lpstr>評比系統!外部資料_348</vt:lpstr>
      <vt:lpstr>評比系統!外部資料_349</vt:lpstr>
      <vt:lpstr>評比系統!外部資料_350</vt:lpstr>
      <vt:lpstr>評比系統!外部資料_351</vt:lpstr>
      <vt:lpstr>評比系統!外部資料_352</vt:lpstr>
      <vt:lpstr>評比系統!外部資料_353</vt:lpstr>
      <vt:lpstr>評比系統!外部資料_354</vt:lpstr>
      <vt:lpstr>評比系統!外部資料_355</vt:lpstr>
      <vt:lpstr>評比系統!外部資料_356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評比系統!外部資料_598</vt:lpstr>
      <vt:lpstr>評比系統!外部資料_599</vt:lpstr>
      <vt:lpstr>評比系統!外部資料_60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評比系統!外部資料_748</vt:lpstr>
      <vt:lpstr>評比系統!外部資料_749</vt:lpstr>
      <vt:lpstr>評比系統!外部資料_75</vt:lpstr>
      <vt:lpstr>評比系統!外部資料_750</vt:lpstr>
      <vt:lpstr>評比系統!外部資料_751</vt:lpstr>
      <vt:lpstr>評比系統!外部資料_752</vt:lpstr>
      <vt:lpstr>評比系統!外部資料_753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評比系統!外部資料_938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評比系統!外部資料_968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評比系統!外部資料_995</vt:lpstr>
      <vt:lpstr>評比系統!外部資料_996</vt:lpstr>
      <vt:lpstr>評比系統!外部資料_997</vt:lpstr>
      <vt:lpstr>評比系統!外部資料_998</vt:lpstr>
      <vt:lpstr>評比系統!外部資料_999</vt:lpstr>
      <vt:lpstr>評比系統!持股分佈</vt:lpstr>
      <vt:lpstr>評比系統!持股分佈_11</vt:lpstr>
      <vt:lpstr>評比系統!持股分佈_14</vt:lpstr>
      <vt:lpstr>評比系統!持股分佈_17</vt:lpstr>
      <vt:lpstr>評比系統!持股分佈_20</vt:lpstr>
      <vt:lpstr>評比系統!持股分佈_23</vt:lpstr>
      <vt:lpstr>評比系統!持股分佈_26</vt:lpstr>
      <vt:lpstr>評比系統!持股分佈_29</vt:lpstr>
      <vt:lpstr>評比系統!持股分佈_32</vt:lpstr>
      <vt:lpstr>評比系統!持股分佈_35</vt:lpstr>
      <vt:lpstr>評比系統!持股分佈_38</vt:lpstr>
      <vt:lpstr>篩股系統!持股分佈_38</vt:lpstr>
      <vt:lpstr>評比系統!持股分佈_41</vt:lpstr>
      <vt:lpstr>評比系統!持股分佈_44</vt:lpstr>
      <vt:lpstr>評比系統!持股分佈_47</vt:lpstr>
      <vt:lpstr>評比系統!持股分佈_5</vt:lpstr>
      <vt:lpstr>評比系統!持股分佈_50</vt:lpstr>
      <vt:lpstr>評比系統!持股分佈_53</vt:lpstr>
      <vt:lpstr>評比系統!持股分佈_56</vt:lpstr>
      <vt:lpstr>評比系統!持股分佈_59</vt:lpstr>
      <vt:lpstr>評比系統!持股分佈_62</vt:lpstr>
      <vt:lpstr>評比系統!持股分佈_65</vt:lpstr>
      <vt:lpstr>評比系統!持股分佈_68</vt:lpstr>
      <vt:lpstr>評比系統!持股分佈_71</vt:lpstr>
      <vt:lpstr>評比系統!持股分佈_74</vt:lpstr>
      <vt:lpstr>評比系統!持股分佈_77</vt:lpstr>
      <vt:lpstr>評比系統!持股分佈_8</vt:lpstr>
      <vt:lpstr>評比系統!持股分佈_80</vt:lpstr>
      <vt:lpstr>評比系統!持股分佈_83</vt:lpstr>
      <vt:lpstr>評比系統!持股分佈_86</vt:lpstr>
      <vt:lpstr>評比系統!持股分佈_89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  <vt:lpstr>收盤價!國內上市_37</vt:lpstr>
      <vt:lpstr>收盤價!國內上市_38</vt:lpstr>
      <vt:lpstr>收盤價!國內上市_39</vt:lpstr>
      <vt:lpstr>收盤價!國內上市_40</vt:lpstr>
      <vt:lpstr>收盤價!國內上市_41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cp:lastPrinted>2015-12-24T11:20:08Z</cp:lastPrinted>
  <dcterms:created xsi:type="dcterms:W3CDTF">2015-03-09T15:48:32Z</dcterms:created>
  <dcterms:modified xsi:type="dcterms:W3CDTF">2016-01-03T06:36:22Z</dcterms:modified>
</cp:coreProperties>
</file>