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 activeTab="1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B7" i="2"/>
  <c r="B3"/>
  <c r="F8" i="3"/>
  <c r="R8" s="1"/>
  <c r="K28" i="1"/>
  <c r="M8" l="1"/>
  <c r="M7"/>
  <c r="L7"/>
  <c r="L8"/>
  <c r="M6"/>
  <c r="L6"/>
  <c r="K19"/>
  <c r="M13"/>
  <c r="K13"/>
  <c r="I6"/>
  <c r="I7"/>
  <c r="G5"/>
  <c r="G6"/>
  <c r="G7"/>
  <c r="G8"/>
  <c r="C6"/>
  <c r="C7"/>
  <c r="C8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R2"/>
  <c r="Q2"/>
  <c r="P2"/>
  <c r="O2"/>
  <c r="N2"/>
  <c r="K2"/>
  <c r="K4" s="1"/>
  <c r="K5" s="1"/>
  <c r="J2"/>
  <c r="R14" i="3"/>
  <c r="Q14"/>
  <c r="N3"/>
  <c r="J3"/>
  <c r="F3"/>
  <c r="F4" s="1"/>
  <c r="E3"/>
  <c r="E4" s="1"/>
  <c r="D3"/>
  <c r="D4" s="1"/>
  <c r="D5" s="1"/>
  <c r="D6" s="1"/>
  <c r="D7" s="1"/>
  <c r="D8" s="1"/>
  <c r="R2"/>
  <c r="Q2"/>
  <c r="P2"/>
  <c r="O2"/>
  <c r="N2"/>
  <c r="K2"/>
  <c r="K3" s="1"/>
  <c r="K4" s="1"/>
  <c r="K5" s="1"/>
  <c r="K6" s="1"/>
  <c r="K7" s="1"/>
  <c r="K8" s="1"/>
  <c r="J2"/>
  <c r="O4" i="1" l="1"/>
  <c r="J4"/>
  <c r="F5"/>
  <c r="N4"/>
  <c r="P3"/>
  <c r="E4"/>
  <c r="R4" s="1"/>
  <c r="O3"/>
  <c r="Q3"/>
  <c r="O4" i="3"/>
  <c r="J4"/>
  <c r="F5"/>
  <c r="Q4"/>
  <c r="R4"/>
  <c r="N4"/>
  <c r="Q16"/>
  <c r="R16"/>
  <c r="P4"/>
  <c r="E5"/>
  <c r="P3"/>
  <c r="R15"/>
  <c r="O3"/>
  <c r="Q15"/>
  <c r="R3"/>
  <c r="Q3"/>
  <c r="Q4" i="1" l="1"/>
  <c r="E5"/>
  <c r="Q5" s="1"/>
  <c r="P4"/>
  <c r="F6"/>
  <c r="N5"/>
  <c r="O5"/>
  <c r="J5"/>
  <c r="E6" i="3"/>
  <c r="Q17"/>
  <c r="R17"/>
  <c r="P5"/>
  <c r="F6"/>
  <c r="Q5"/>
  <c r="R5"/>
  <c r="N5"/>
  <c r="O5"/>
  <c r="J5"/>
  <c r="R5" i="1" l="1"/>
  <c r="J6"/>
  <c r="P5"/>
  <c r="E6"/>
  <c r="O6" i="3"/>
  <c r="J6"/>
  <c r="F7"/>
  <c r="Q6"/>
  <c r="R6"/>
  <c r="N6"/>
  <c r="Q18"/>
  <c r="R18"/>
  <c r="E7"/>
  <c r="P6"/>
  <c r="Q6" i="1" l="1"/>
  <c r="E7"/>
  <c r="Q19" i="3"/>
  <c r="R19"/>
  <c r="E8"/>
  <c r="P7"/>
  <c r="Q7"/>
  <c r="R7"/>
  <c r="N7"/>
  <c r="O7"/>
  <c r="J7"/>
  <c r="E8" i="1" l="1"/>
  <c r="K25" i="3"/>
  <c r="O8"/>
  <c r="M25"/>
  <c r="J8"/>
  <c r="M28"/>
  <c r="Q8"/>
  <c r="N8"/>
  <c r="P8"/>
  <c r="Q20"/>
  <c r="R20"/>
  <c r="M19"/>
  <c r="M22" s="1"/>
  <c r="U13" i="2"/>
  <c r="T13"/>
  <c r="N12"/>
  <c r="B6"/>
  <c r="B7" i="1" s="1"/>
  <c r="B5" i="2"/>
  <c r="B6" i="1" s="1"/>
  <c r="B4" i="2"/>
  <c r="S3"/>
  <c r="M3"/>
  <c r="L3"/>
  <c r="L4" s="1"/>
  <c r="I3"/>
  <c r="T3" s="1"/>
  <c r="H3"/>
  <c r="H4" s="1"/>
  <c r="Q3"/>
  <c r="U2"/>
  <c r="T2"/>
  <c r="S2"/>
  <c r="R2"/>
  <c r="Q2"/>
  <c r="N2"/>
  <c r="N3" s="1"/>
  <c r="N4" s="1"/>
  <c r="M2"/>
  <c r="G2"/>
  <c r="G3" s="1"/>
  <c r="G4" s="1"/>
  <c r="G5" s="1"/>
  <c r="K6" i="1" l="1"/>
  <c r="D6"/>
  <c r="D7" s="1"/>
  <c r="O6"/>
  <c r="F7"/>
  <c r="N7" s="1"/>
  <c r="N6"/>
  <c r="R6"/>
  <c r="P6"/>
  <c r="N5" i="2"/>
  <c r="G6"/>
  <c r="G7" s="1"/>
  <c r="N6"/>
  <c r="N7" s="1"/>
  <c r="K7" i="1"/>
  <c r="O7"/>
  <c r="P7"/>
  <c r="B8"/>
  <c r="M19"/>
  <c r="U15" i="2"/>
  <c r="H5"/>
  <c r="T15"/>
  <c r="S4"/>
  <c r="L5"/>
  <c r="R3"/>
  <c r="U14"/>
  <c r="U3"/>
  <c r="I4"/>
  <c r="M4" s="1"/>
  <c r="T14"/>
  <c r="F8" i="1" l="1"/>
  <c r="Q8" s="1"/>
  <c r="J7"/>
  <c r="Q7"/>
  <c r="R7"/>
  <c r="K8"/>
  <c r="D8"/>
  <c r="N8"/>
  <c r="K25"/>
  <c r="M28"/>
  <c r="M25"/>
  <c r="R8"/>
  <c r="P8"/>
  <c r="M22"/>
  <c r="R4" i="2"/>
  <c r="T4"/>
  <c r="I5"/>
  <c r="U4"/>
  <c r="H6"/>
  <c r="T16"/>
  <c r="U16"/>
  <c r="S5"/>
  <c r="L6"/>
  <c r="M5"/>
  <c r="Q4"/>
  <c r="U17" l="1"/>
  <c r="H7"/>
  <c r="T17"/>
  <c r="S6"/>
  <c r="T5"/>
  <c r="I6"/>
  <c r="U5"/>
  <c r="Q5"/>
  <c r="R5"/>
  <c r="L7"/>
  <c r="I8" i="1" s="1"/>
  <c r="J8" l="1"/>
  <c r="O8"/>
  <c r="T6" i="2"/>
  <c r="I7"/>
  <c r="U7" s="1"/>
  <c r="U6"/>
  <c r="Q6"/>
  <c r="R6"/>
  <c r="P18"/>
  <c r="T18"/>
  <c r="U18"/>
  <c r="S7"/>
  <c r="M6"/>
  <c r="M7" l="1"/>
  <c r="P21"/>
  <c r="T7"/>
  <c r="N24"/>
  <c r="P24"/>
  <c r="P27"/>
  <c r="R7"/>
  <c r="Q7"/>
</calcChain>
</file>

<file path=xl/comments1.xml><?xml version="1.0" encoding="utf-8"?>
<comments xmlns="http://schemas.openxmlformats.org/spreadsheetml/2006/main">
  <authors>
    <author>dada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dada: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購屋款項，篩選年度，項目選擇包含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租金或機車 (最後剔除押金)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dada: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篩選年度，項目去除房貸兩種跟押金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dada: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篩選年度，項目選擇房貸</t>
        </r>
      </text>
    </comment>
  </commentList>
</comments>
</file>

<file path=xl/sharedStrings.xml><?xml version="1.0" encoding="utf-8"?>
<sst xmlns="http://schemas.openxmlformats.org/spreadsheetml/2006/main" count="129" uniqueCount="49">
  <si>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</si>
  <si>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</si>
  <si>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</si>
  <si>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</si>
  <si>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</si>
  <si>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</si>
  <si>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</si>
  <si>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</si>
  <si>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</si>
  <si>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</si>
  <si>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</si>
  <si>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</si>
  <si>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</si>
  <si>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</si>
  <si>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</si>
  <si>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</si>
  <si>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</si>
  <si>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</si>
  <si>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</si>
  <si>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</si>
  <si>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</si>
  <si>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</si>
  <si>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</si>
  <si>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</si>
  <si>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</si>
  <si>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</si>
  <si>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</si>
  <si>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</si>
  <si>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</si>
  <si>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</si>
  <si>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</si>
  <si>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</si>
  <si>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</si>
  <si>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</si>
  <si>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</si>
  <si>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明年初預計股本</t>
    <phoneticPr fontId="2" type="noConversion"/>
  </si>
  <si>
    <t>目前剩餘債務</t>
    <phoneticPr fontId="2" type="noConversion"/>
  </si>
  <si>
    <t>預估明年初每股淨值</t>
    <phoneticPr fontId="2" type="noConversion"/>
  </si>
  <si>
    <t>目前負債比</t>
    <phoneticPr fontId="2" type="noConversion"/>
  </si>
  <si>
    <t>預估明年長期負債比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</si>
  <si>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</si>
  <si>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</si>
  <si>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</si>
  <si>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購入價</t>
    <phoneticPr fontId="2" type="noConversion"/>
  </si>
  <si>
    <t>市價</t>
    <phoneticPr fontId="2" type="noConversion"/>
  </si>
  <si>
    <t>債務(最高)</t>
    <phoneticPr fontId="2" type="noConversion"/>
  </si>
  <si>
    <t>2010</t>
    <phoneticPr fontId="2" type="noConversion"/>
  </si>
  <si>
    <t>債務</t>
    <phoneticPr fontId="2" type="noConversion"/>
  </si>
  <si>
    <t>固定現金收益</t>
    <phoneticPr fontId="2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</si>
</sst>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133042</c:v>
                </c:pt>
                <c:pt idx="3">
                  <c:v>166315</c:v>
                </c:pt>
                <c:pt idx="4">
                  <c:v>352870</c:v>
                </c:pt>
                <c:pt idx="5">
                  <c:v>1996509</c:v>
                </c:pt>
                <c:pt idx="6">
                  <c:v>166029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183111</c:v>
                </c:pt>
                <c:pt idx="3">
                  <c:v>349426</c:v>
                </c:pt>
                <c:pt idx="4">
                  <c:v>702296</c:v>
                </c:pt>
                <c:pt idx="5">
                  <c:v>2698805</c:v>
                </c:pt>
                <c:pt idx="6">
                  <c:v>2864834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固定現金收益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合併報表!$C$2:$C$8</c:f>
              <c:numCache>
                <c:formatCode>General</c:formatCode>
                <c:ptCount val="7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678500</c:v>
                </c:pt>
              </c:numCache>
            </c:numRef>
          </c:val>
        </c:ser>
        <c:marker val="1"/>
        <c:axId val="115220864"/>
        <c:axId val="123250176"/>
      </c:lineChart>
      <c:catAx>
        <c:axId val="115220864"/>
        <c:scaling>
          <c:orientation val="minMax"/>
        </c:scaling>
        <c:axPos val="b"/>
        <c:tickLblPos val="nextTo"/>
        <c:crossAx val="123250176"/>
        <c:crosses val="autoZero"/>
        <c:auto val="1"/>
        <c:lblAlgn val="ctr"/>
        <c:lblOffset val="100"/>
      </c:catAx>
      <c:valAx>
        <c:axId val="123250176"/>
        <c:scaling>
          <c:orientation val="minMax"/>
        </c:scaling>
        <c:axPos val="l"/>
        <c:majorGridlines/>
        <c:numFmt formatCode="General" sourceLinked="1"/>
        <c:tickLblPos val="nextTo"/>
        <c:crossAx val="11522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23266176"/>
        <c:axId val="123267712"/>
      </c:lineChart>
      <c:catAx>
        <c:axId val="123266176"/>
        <c:scaling>
          <c:orientation val="minMax"/>
        </c:scaling>
        <c:axPos val="b"/>
        <c:tickLblPos val="nextTo"/>
        <c:crossAx val="123267712"/>
        <c:crosses val="autoZero"/>
        <c:auto val="1"/>
        <c:lblAlgn val="ctr"/>
        <c:lblOffset val="100"/>
      </c:catAx>
      <c:valAx>
        <c:axId val="123267712"/>
        <c:scaling>
          <c:orientation val="minMax"/>
        </c:scaling>
        <c:axPos val="l"/>
        <c:majorGridlines/>
        <c:numFmt formatCode="General" sourceLinked="1"/>
        <c:tickLblPos val="nextTo"/>
        <c:crossAx val="12326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33808128"/>
        <c:axId val="133809664"/>
      </c:lineChart>
      <c:catAx>
        <c:axId val="133808128"/>
        <c:scaling>
          <c:orientation val="minMax"/>
        </c:scaling>
        <c:axPos val="b"/>
        <c:tickLblPos val="nextTo"/>
        <c:crossAx val="133809664"/>
        <c:crosses val="autoZero"/>
        <c:auto val="1"/>
        <c:lblAlgn val="ctr"/>
        <c:lblOffset val="100"/>
      </c:catAx>
      <c:valAx>
        <c:axId val="133809664"/>
        <c:scaling>
          <c:orientation val="minMax"/>
        </c:scaling>
        <c:axPos val="l"/>
        <c:majorGridlines/>
        <c:numFmt formatCode="General" sourceLinked="1"/>
        <c:tickLblPos val="nextTo"/>
        <c:crossAx val="133808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  <sheetName val="Sheet2"/>
    </sheetNames>
    <sheetDataSet>
      <sheetData sheetId="0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1892320</v>
          </cell>
          <cell r="C7">
            <v>313669</v>
          </cell>
          <cell r="D7">
            <v>2289998</v>
          </cell>
        </row>
        <row r="8">
          <cell r="A8" t="str">
            <v>2016</v>
          </cell>
          <cell r="B8">
            <v>395756</v>
          </cell>
          <cell r="C8">
            <v>540982</v>
          </cell>
          <cell r="D8">
            <v>2685754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水電預繳"/>
      <sheetName val="交屋前支出"/>
      <sheetName val="借款"/>
      <sheetName val="財務報表"/>
      <sheetName val="股份統計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102789</v>
          </cell>
          <cell r="C6">
            <v>225060</v>
          </cell>
          <cell r="G6">
            <v>402404</v>
          </cell>
        </row>
        <row r="7">
          <cell r="A7" t="str">
            <v>2016</v>
          </cell>
          <cell r="B7">
            <v>0</v>
          </cell>
          <cell r="C7">
            <v>0</v>
          </cell>
          <cell r="G7">
            <v>402404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E10" sqref="E10"/>
    </sheetView>
  </sheetViews>
  <sheetFormatPr defaultRowHeight="16.5"/>
  <cols>
    <col min="1" max="1" width="6.125" customWidth="1"/>
    <col min="2" max="2" width="9.125" customWidth="1"/>
    <col min="3" max="3" width="14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48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22</v>
      </c>
      <c r="B4">
        <f>'達人351-15'!B3+股票期貨外匯!B4</f>
        <v>133042</v>
      </c>
      <c r="C4">
        <f>'達人351-15'!C3+股票期貨外匯!C4</f>
        <v>264733</v>
      </c>
      <c r="D4">
        <f t="shared" si="2"/>
        <v>183111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177111</v>
      </c>
      <c r="L4">
        <v>0</v>
      </c>
      <c r="M4">
        <v>0</v>
      </c>
      <c r="N4">
        <f t="shared" si="3"/>
        <v>6.1682987407197567</v>
      </c>
      <c r="O4">
        <f t="shared" si="1"/>
        <v>2.0522719885898848</v>
      </c>
      <c r="P4">
        <f t="shared" si="4"/>
        <v>0.62969578729249076</v>
      </c>
      <c r="Q4">
        <f t="shared" si="5"/>
        <v>10.208581227358223</v>
      </c>
      <c r="R4">
        <f t="shared" si="6"/>
        <v>10.838277014650714</v>
      </c>
    </row>
    <row r="5" spans="1:18">
      <c r="A5" s="2" t="s">
        <v>23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349426</v>
      </c>
      <c r="E5">
        <f t="shared" si="7"/>
        <v>2312798</v>
      </c>
      <c r="F5">
        <f t="shared" si="8"/>
        <v>2489909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65.525758322579932</v>
      </c>
      <c r="K5">
        <f t="shared" si="9"/>
        <v>343426</v>
      </c>
      <c r="L5">
        <v>0</v>
      </c>
      <c r="M5">
        <v>0</v>
      </c>
      <c r="N5">
        <f t="shared" si="3"/>
        <v>6.6795613815605313</v>
      </c>
      <c r="O5">
        <f t="shared" si="1"/>
        <v>2.3027281336707963</v>
      </c>
      <c r="P5">
        <f t="shared" si="4"/>
        <v>0.71910733233079593</v>
      </c>
      <c r="Q5">
        <f t="shared" si="5"/>
        <v>10.765786722402908</v>
      </c>
      <c r="R5">
        <f t="shared" si="6"/>
        <v>11.484894054733703</v>
      </c>
    </row>
    <row r="6" spans="1:18">
      <c r="A6" s="2" t="s">
        <v>24</v>
      </c>
      <c r="B6">
        <f>'達人351-15'!B5+股票期貨外匯!B6</f>
        <v>352870</v>
      </c>
      <c r="C6">
        <f>'達人351-15'!C5+股票期貨外匯!C6</f>
        <v>250472</v>
      </c>
      <c r="D6">
        <f t="shared" si="2"/>
        <v>702296</v>
      </c>
      <c r="E6">
        <f t="shared" si="7"/>
        <v>2992798</v>
      </c>
      <c r="F6">
        <f t="shared" si="8"/>
        <v>3336224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58.695366342301789</v>
      </c>
      <c r="K6">
        <f t="shared" si="9"/>
        <v>556296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10.576927688308698</v>
      </c>
      <c r="O6">
        <f t="shared" si="1"/>
        <v>4.3687612338955555</v>
      </c>
      <c r="P6">
        <f t="shared" si="4"/>
        <v>1.1790638726703238</v>
      </c>
      <c r="Q6">
        <f t="shared" si="5"/>
        <v>11.147508117821516</v>
      </c>
      <c r="R6">
        <f>((F6+B6-L6)/(E6))*10</f>
        <v>12.326571990491841</v>
      </c>
    </row>
    <row r="7" spans="1:18">
      <c r="A7" s="2" t="s">
        <v>25</v>
      </c>
      <c r="B7">
        <f>'達人351-15'!B6+股票期貨外匯!B7</f>
        <v>1996509</v>
      </c>
      <c r="C7">
        <f>'達人351-15'!C6+股票期貨外匯!C7</f>
        <v>538729</v>
      </c>
      <c r="D7">
        <f t="shared" si="2"/>
        <v>2698805</v>
      </c>
      <c r="E7">
        <f>E6+G6+M6</f>
        <v>4329298</v>
      </c>
      <c r="F7">
        <f t="shared" si="8"/>
        <v>4923094</v>
      </c>
      <c r="G7">
        <f>'達人351-15'!J6+股票期貨外匯!G7</f>
        <v>842500</v>
      </c>
      <c r="H7">
        <v>39000</v>
      </c>
      <c r="I7">
        <f>'達人351-15'!L6+股票期貨外匯!I7</f>
        <v>7788030</v>
      </c>
      <c r="J7">
        <f t="shared" si="0"/>
        <v>61.269404656897372</v>
      </c>
      <c r="K7">
        <f t="shared" si="9"/>
        <v>2046849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40.553948390991515</v>
      </c>
      <c r="O7">
        <f t="shared" si="1"/>
        <v>15.706785646965601</v>
      </c>
      <c r="P7">
        <f t="shared" si="4"/>
        <v>4.61162294672254</v>
      </c>
      <c r="Q7">
        <f t="shared" si="5"/>
        <v>11.371575715046642</v>
      </c>
      <c r="R7">
        <f>((F7+B7-L7)/(E7))*10</f>
        <v>15.699882521369515</v>
      </c>
    </row>
    <row r="8" spans="1:18">
      <c r="A8" s="2" t="s">
        <v>26</v>
      </c>
      <c r="B8">
        <f>'達人351-15'!B7+股票期貨外匯!B8</f>
        <v>166029</v>
      </c>
      <c r="C8">
        <f>'達人351-15'!C7+股票期貨外匯!C8</f>
        <v>678500</v>
      </c>
      <c r="D8">
        <f t="shared" si="2"/>
        <v>2864834</v>
      </c>
      <c r="E8">
        <f>E7+G7+M7</f>
        <v>5555098</v>
      </c>
      <c r="F8">
        <f>F7+B7+G7+H7-L7</f>
        <v>7678447</v>
      </c>
      <c r="G8">
        <f>'達人351-15'!J7+股票期貨外匯!G8</f>
        <v>120000</v>
      </c>
      <c r="H8">
        <v>39000</v>
      </c>
      <c r="I8">
        <f>'達人351-15'!L7+股票期貨外匯!I8</f>
        <v>7517514</v>
      </c>
      <c r="J8">
        <f t="shared" si="0"/>
        <v>49.470474424092032</v>
      </c>
      <c r="K8">
        <f t="shared" si="9"/>
        <v>2212878</v>
      </c>
      <c r="L8">
        <f>'達人351-15'!O7+股票期貨外匯!L8</f>
        <v>0</v>
      </c>
      <c r="M8">
        <f>'達人351-15'!P7+股票期貨外匯!M8</f>
        <v>0</v>
      </c>
      <c r="N8">
        <f t="shared" si="3"/>
        <v>2.1622731784174585</v>
      </c>
      <c r="O8">
        <f t="shared" si="1"/>
        <v>1.0925863787094479</v>
      </c>
      <c r="P8">
        <f t="shared" si="4"/>
        <v>0.29887681549452416</v>
      </c>
      <c r="Q8">
        <f>(F8/E8)*10</f>
        <v>13.822343008170153</v>
      </c>
      <c r="R8" s="3">
        <f>((F8+B8-L8+K13-K16)/(E8))*10</f>
        <v>16.046849218501634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</row>
    <row r="13" spans="1:18">
      <c r="K13">
        <f>'達人351-15'!N12+股票期貨外匯!K13</f>
        <v>1069706</v>
      </c>
      <c r="M13">
        <f>'達人351-15'!P12+股票期貨外匯!M13</f>
        <v>820000</v>
      </c>
    </row>
    <row r="15" spans="1:18">
      <c r="K15" s="1" t="s">
        <v>32</v>
      </c>
      <c r="M15" s="1" t="s">
        <v>33</v>
      </c>
      <c r="N15" s="1" t="s">
        <v>15</v>
      </c>
    </row>
    <row r="18" spans="11:13">
      <c r="K18" s="1" t="s">
        <v>34</v>
      </c>
      <c r="M18" s="1" t="s">
        <v>35</v>
      </c>
    </row>
    <row r="19" spans="11:13">
      <c r="K19">
        <f>'達人351-15'!N18+股票期貨外匯!K19</f>
        <v>1311580</v>
      </c>
      <c r="M19">
        <f>E8+M13+((E8/10)*N16)</f>
        <v>6375098</v>
      </c>
    </row>
    <row r="21" spans="11:13">
      <c r="K21" s="1" t="s">
        <v>36</v>
      </c>
      <c r="M21" s="1" t="s">
        <v>37</v>
      </c>
    </row>
    <row r="22" spans="11:13">
      <c r="M22">
        <f>((F8+B8+M13-((E8/10)*M16))/M19)*10</f>
        <v>13.591125971710552</v>
      </c>
    </row>
    <row r="24" spans="11:13">
      <c r="K24" s="1" t="s">
        <v>38</v>
      </c>
      <c r="M24" s="1" t="s">
        <v>39</v>
      </c>
    </row>
    <row r="25" spans="11:13">
      <c r="K25">
        <f>K22/(F8+B8+K13-K16+K22+K19)*100</f>
        <v>0</v>
      </c>
      <c r="M25">
        <f>K28/(F8+B8+K13+M13-K16+K22+K28)*100</f>
        <v>40.986881678788158</v>
      </c>
    </row>
    <row r="27" spans="11:13">
      <c r="K27" s="1" t="s">
        <v>40</v>
      </c>
      <c r="M27" s="1" t="s">
        <v>41</v>
      </c>
    </row>
    <row r="28" spans="11:13">
      <c r="K28">
        <f>'達人351-15'!N27+股票期貨外匯!K28</f>
        <v>6760764</v>
      </c>
      <c r="M28">
        <f>(K28+K31)/(F8+B8+K13+M13-K16+K22+K28+K31)*100</f>
        <v>42.723077790303073</v>
      </c>
    </row>
    <row r="30" spans="11:13">
      <c r="K30" s="1" t="s">
        <v>42</v>
      </c>
    </row>
    <row r="31" spans="11:13">
      <c r="K31">
        <v>500000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abSelected="1" zoomScale="70" zoomScaleNormal="70" workbookViewId="0">
      <selection activeCell="N3" sqref="N3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22</v>
      </c>
      <c r="B3">
        <f>D3-E3</f>
        <v>150634</v>
      </c>
      <c r="C3">
        <v>264733</v>
      </c>
      <c r="D3">
        <v>220339</v>
      </c>
      <c r="E3">
        <v>69705</v>
      </c>
      <c r="F3">
        <v>243903</v>
      </c>
      <c r="G3">
        <f t="shared" ref="G3:G7" si="6">G2+B3</f>
        <v>150634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150634</v>
      </c>
      <c r="O3">
        <v>0</v>
      </c>
      <c r="P3">
        <v>0</v>
      </c>
      <c r="Q3">
        <f t="shared" si="1"/>
        <v>7.3379845459709143</v>
      </c>
      <c r="R3">
        <f t="shared" si="2"/>
        <v>2.3615526918132503</v>
      </c>
      <c r="S3">
        <f t="shared" si="3"/>
        <v>0.73379845459709148</v>
      </c>
      <c r="T3">
        <f t="shared" si="4"/>
        <v>10</v>
      </c>
      <c r="U3">
        <f t="shared" si="5"/>
        <v>10.733798454597093</v>
      </c>
    </row>
    <row r="4" spans="1:21">
      <c r="A4" s="2" t="s">
        <v>23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279515</v>
      </c>
      <c r="H4">
        <f t="shared" si="7"/>
        <v>2172798</v>
      </c>
      <c r="I4">
        <f t="shared" si="8"/>
        <v>2323432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64.01151603234365</v>
      </c>
      <c r="N4">
        <f t="shared" si="9"/>
        <v>279515</v>
      </c>
      <c r="O4">
        <v>0</v>
      </c>
      <c r="P4">
        <v>0</v>
      </c>
      <c r="Q4">
        <f t="shared" si="1"/>
        <v>5.5470097683082615</v>
      </c>
      <c r="R4">
        <f t="shared" si="2"/>
        <v>1.9962847211519503</v>
      </c>
      <c r="S4">
        <f t="shared" si="3"/>
        <v>0.59315684200740248</v>
      </c>
      <c r="T4">
        <f t="shared" si="4"/>
        <v>10.693271993070685</v>
      </c>
      <c r="U4">
        <f t="shared" si="5"/>
        <v>11.286428835078087</v>
      </c>
    </row>
    <row r="5" spans="1:21">
      <c r="A5" s="2" t="s">
        <v>24</v>
      </c>
      <c r="B5">
        <f t="shared" si="10"/>
        <v>25103</v>
      </c>
      <c r="C5">
        <v>171550</v>
      </c>
      <c r="D5">
        <v>105776</v>
      </c>
      <c r="E5">
        <v>80673</v>
      </c>
      <c r="F5">
        <v>272390</v>
      </c>
      <c r="G5">
        <f t="shared" si="6"/>
        <v>304618</v>
      </c>
      <c r="H5">
        <f t="shared" si="7"/>
        <v>2292798</v>
      </c>
      <c r="I5">
        <f t="shared" si="8"/>
        <v>2572313</v>
      </c>
      <c r="J5">
        <v>120000</v>
      </c>
      <c r="K5">
        <v>0</v>
      </c>
      <c r="L5">
        <f t="shared" si="11"/>
        <v>3940894</v>
      </c>
      <c r="M5">
        <f t="shared" si="0"/>
        <v>60.506199173464012</v>
      </c>
      <c r="N5">
        <f t="shared" si="9"/>
        <v>304618</v>
      </c>
      <c r="O5">
        <v>0</v>
      </c>
      <c r="P5">
        <v>0</v>
      </c>
      <c r="Q5">
        <f t="shared" si="1"/>
        <v>0.97589212510297152</v>
      </c>
      <c r="R5">
        <f t="shared" si="2"/>
        <v>0.38541689217001701</v>
      </c>
      <c r="S5">
        <f t="shared" si="3"/>
        <v>0.10948631322951258</v>
      </c>
      <c r="T5">
        <f t="shared" si="4"/>
        <v>11.219099981769</v>
      </c>
      <c r="U5">
        <f>((I5+B5-O5)/(H5))*10</f>
        <v>11.328586294998512</v>
      </c>
    </row>
    <row r="6" spans="1:21">
      <c r="A6" s="2" t="s">
        <v>25</v>
      </c>
      <c r="B6">
        <f t="shared" si="10"/>
        <v>104189</v>
      </c>
      <c r="C6">
        <v>225060</v>
      </c>
      <c r="D6">
        <v>181525</v>
      </c>
      <c r="E6">
        <v>77336</v>
      </c>
      <c r="F6">
        <v>272718</v>
      </c>
      <c r="G6">
        <f t="shared" si="6"/>
        <v>408807</v>
      </c>
      <c r="H6">
        <f>H5+J5+P5</f>
        <v>2412798</v>
      </c>
      <c r="I6">
        <f t="shared" si="8"/>
        <v>2717416</v>
      </c>
      <c r="J6">
        <v>120000</v>
      </c>
      <c r="K6">
        <v>0</v>
      </c>
      <c r="L6">
        <f t="shared" si="11"/>
        <v>3745512</v>
      </c>
      <c r="M6">
        <f t="shared" si="0"/>
        <v>57.953794317374417</v>
      </c>
      <c r="N6">
        <f t="shared" si="9"/>
        <v>408807</v>
      </c>
      <c r="O6">
        <v>0</v>
      </c>
      <c r="P6">
        <v>0</v>
      </c>
      <c r="Q6">
        <f t="shared" si="1"/>
        <v>3.8341203555142087</v>
      </c>
      <c r="R6">
        <f t="shared" si="2"/>
        <v>1.6121021307989196</v>
      </c>
      <c r="S6">
        <f t="shared" si="3"/>
        <v>0.43181816297924647</v>
      </c>
      <c r="T6">
        <f t="shared" si="4"/>
        <v>11.262509335634396</v>
      </c>
      <c r="U6">
        <f>((I6+B6-O6)/(H6))*10</f>
        <v>11.694327498613644</v>
      </c>
    </row>
    <row r="7" spans="1:21">
      <c r="A7" s="2" t="s">
        <v>26</v>
      </c>
      <c r="B7">
        <f>D7-E7</f>
        <v>162955</v>
      </c>
      <c r="C7">
        <v>267000</v>
      </c>
      <c r="D7">
        <v>229009</v>
      </c>
      <c r="E7">
        <v>66054</v>
      </c>
      <c r="F7">
        <v>268748</v>
      </c>
      <c r="G7">
        <f t="shared" si="6"/>
        <v>571762</v>
      </c>
      <c r="H7">
        <f>H6+J6+P6</f>
        <v>2532798</v>
      </c>
      <c r="I7">
        <f>I6+B6+J6+K6-O6</f>
        <v>2941605</v>
      </c>
      <c r="J7">
        <v>120000</v>
      </c>
      <c r="K7">
        <v>0</v>
      </c>
      <c r="L7">
        <f t="shared" si="11"/>
        <v>3542818</v>
      </c>
      <c r="M7">
        <f t="shared" si="0"/>
        <v>54.635824960833055</v>
      </c>
      <c r="N7">
        <f t="shared" si="9"/>
        <v>571762</v>
      </c>
      <c r="O7">
        <v>0</v>
      </c>
      <c r="P7">
        <v>0</v>
      </c>
      <c r="Q7">
        <f t="shared" si="1"/>
        <v>5.5396628711196776</v>
      </c>
      <c r="R7">
        <f t="shared" si="2"/>
        <v>2.5130223614344716</v>
      </c>
      <c r="S7">
        <f t="shared" si="3"/>
        <v>0.64337937727367123</v>
      </c>
      <c r="T7">
        <f>(I7/H7)*10</f>
        <v>11.614052916971664</v>
      </c>
      <c r="U7" s="3">
        <f>((I7+B7-O7+N12-N15)/(H7))*10</f>
        <v>19.166787086850196</v>
      </c>
    </row>
    <row r="8" spans="1:21">
      <c r="A8" s="2"/>
      <c r="U8" s="3"/>
    </row>
    <row r="9" spans="1:21">
      <c r="A9" s="2"/>
      <c r="U9" s="3"/>
    </row>
    <row r="11" spans="1:21">
      <c r="N11" s="1" t="s">
        <v>27</v>
      </c>
      <c r="P11" s="1" t="s">
        <v>28</v>
      </c>
      <c r="S11" s="1" t="s">
        <v>29</v>
      </c>
      <c r="T11" s="1"/>
      <c r="U11" s="1"/>
    </row>
    <row r="12" spans="1:21">
      <c r="N12">
        <f>P32-N32</f>
        <v>1750000</v>
      </c>
      <c r="P12">
        <v>120000</v>
      </c>
      <c r="S12" s="1" t="s">
        <v>0</v>
      </c>
      <c r="T12" s="1" t="s">
        <v>30</v>
      </c>
      <c r="U12" s="1" t="s">
        <v>31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1" t="s">
        <v>32</v>
      </c>
      <c r="P14" s="1" t="s">
        <v>33</v>
      </c>
      <c r="Q14" s="1" t="s">
        <v>15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1" t="s">
        <v>34</v>
      </c>
      <c r="P17" s="1" t="s">
        <v>35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176025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1" t="s">
        <v>36</v>
      </c>
      <c r="P20" s="1" t="s">
        <v>37</v>
      </c>
    </row>
    <row r="21" spans="14:21">
      <c r="P21">
        <f>((I7+B7+P12-((H7/10)*P15))/P18)*10</f>
        <v>12.155316763658597</v>
      </c>
    </row>
    <row r="23" spans="14:21">
      <c r="N23" s="1" t="s">
        <v>38</v>
      </c>
      <c r="P23" s="1" t="s">
        <v>39</v>
      </c>
    </row>
    <row r="24" spans="14:21">
      <c r="N24">
        <f>N21/(I7+B7+N12-N15+N21+N18)*100</f>
        <v>0</v>
      </c>
      <c r="P24">
        <f>N27/(I7+B7+N12+P12-N15+N21+N27)*100</f>
        <v>41.61363894577417</v>
      </c>
    </row>
    <row r="26" spans="14:21">
      <c r="N26" s="1" t="s">
        <v>40</v>
      </c>
      <c r="P26" s="1" t="s">
        <v>41</v>
      </c>
    </row>
    <row r="27" spans="14:21">
      <c r="N27">
        <v>3545512</v>
      </c>
      <c r="P27">
        <f>(N27+N30)/(I7+B7+N12+P12-N15+N21+N27+N30)*100</f>
        <v>41.61363894577417</v>
      </c>
    </row>
    <row r="29" spans="14:21">
      <c r="N29" s="1" t="s">
        <v>42</v>
      </c>
    </row>
    <row r="31" spans="14:21">
      <c r="N31" s="1" t="s">
        <v>43</v>
      </c>
      <c r="P31" s="1" t="s">
        <v>44</v>
      </c>
    </row>
    <row r="32" spans="14:21">
      <c r="N32">
        <v>6250000</v>
      </c>
      <c r="P32">
        <v>8000000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opLeftCell="B1" zoomScale="85" zoomScaleNormal="85" workbookViewId="0">
      <selection activeCell="I10" sqref="I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22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23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24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25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2" t="s">
        <v>26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3">
        <f>((F8+B8-L8+K13-K16)/(E8))*10</f>
        <v>13.308149422625153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  <c r="P12" s="1" t="s">
        <v>29</v>
      </c>
      <c r="Q12" s="1"/>
      <c r="R12" s="1"/>
    </row>
    <row r="13" spans="1:18">
      <c r="K13">
        <v>-680294</v>
      </c>
      <c r="M13">
        <v>700000</v>
      </c>
      <c r="P13" s="1" t="s">
        <v>0</v>
      </c>
      <c r="Q13" s="1" t="s">
        <v>30</v>
      </c>
      <c r="R13" s="1" t="s">
        <v>31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1" t="s">
        <v>32</v>
      </c>
      <c r="M15" s="1" t="s">
        <v>33</v>
      </c>
      <c r="N15" s="1" t="s">
        <v>15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1" t="s">
        <v>34</v>
      </c>
      <c r="M18" s="1" t="s">
        <v>35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1" t="s">
        <v>36</v>
      </c>
      <c r="M21" s="1" t="s">
        <v>37</v>
      </c>
    </row>
    <row r="22" spans="11:18">
      <c r="M22">
        <f>((F8+B8+M13-((E8/10)*M16))/M19)*10</f>
        <v>14.513650162533917</v>
      </c>
    </row>
    <row r="24" spans="11:18">
      <c r="K24" s="1" t="s">
        <v>38</v>
      </c>
      <c r="M24" s="1" t="s">
        <v>39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1" t="s">
        <v>40</v>
      </c>
      <c r="M27" s="1" t="s">
        <v>41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1" t="s">
        <v>42</v>
      </c>
    </row>
    <row r="31" spans="11:18">
      <c r="K31">
        <v>500000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</cp:lastModifiedBy>
  <dcterms:created xsi:type="dcterms:W3CDTF">2015-12-31T07:32:15Z</dcterms:created>
  <dcterms:modified xsi:type="dcterms:W3CDTF">2017-01-23T09:18:29Z</dcterms:modified>
</cp:coreProperties>
</file>